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Master_Inputs" sheetId="2" state="visible" r:id="rId4"/>
    <sheet name="Design_Table" sheetId="3" state="visible" r:id="rId5"/>
    <sheet name="Hole_Schedule" sheetId="4" state="visible" r:id="rId6"/>
    <sheet name="Wood_Library" sheetId="5" state="visible" r:id="rId7"/>
    <sheet name="Inlay_Layout" sheetId="6" state="visible" r:id="rId8"/>
  </sheets>
  <definedNames>
    <definedName function="false" hidden="false" name="A4_ref" vbProcedure="false">Master_Inputs!$B$9</definedName>
    <definedName function="false" hidden="false" name="bird_len" vbProcedure="false">Master_Inputs!$B$16</definedName>
    <definedName function="false" hidden="false" name="c_speed" vbProcedure="false">Master_Inputs!$B$7</definedName>
    <definedName function="false" hidden="false" name="drone_st" vbProcedure="false">Master_Inputs!$B$22</definedName>
    <definedName function="false" hidden="false" name="end_k" vbProcedure="false">Master_Inputs!$B$10</definedName>
    <definedName function="false" hidden="false" name="K2tbl" vbProcedure="false">Master_Inputs!$A$37:$C$41</definedName>
    <definedName function="false" hidden="false" name="n_fac" vbProcedure="false">Master_Inputs!$B$29</definedName>
    <definedName function="false" hidden="false" name="SAC_len" vbProcedure="false">Master_Inputs!$B$13</definedName>
    <definedName function="false" hidden="false" name="SAC_wall" vbProcedure="false">Master_Inputs!$B$14</definedName>
    <definedName function="false" hidden="false" name="win_len" vbProcedure="false">Master_Inputs!$B$18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<sst xmlns="http://schemas.openxmlformats.org/spreadsheetml/2006/main" count="342" uniqueCount="239">
  <si>
    <t xml:space="preserve">Native American Drone Flute — Design Workbook</t>
  </si>
  <si>
    <t xml:space="preserve">Inspired by Elemental Flutes (gallery) + Broinwood CNC inlay aesthetic. Drives SolidWorks master layout.</t>
  </si>
  <si>
    <t xml:space="preserve">Author: Tony Koop  |  Tools: ShopBot CNC, lathe, Epilog laser, SolidWorks  |  Maker Nexus, South Bay</t>
  </si>
  <si>
    <t xml:space="preserve">Sheet</t>
  </si>
  <si>
    <t xml:space="preserve">Purpose</t>
  </si>
  <si>
    <t xml:space="preserve">Edit?</t>
  </si>
  <si>
    <t xml:space="preserve">Master_Inputs</t>
  </si>
  <si>
    <t xml:space="preserve">Global variables — every other formula references these. Same names as SolidWorks globals.</t>
  </si>
  <si>
    <t xml:space="preserve">Blue cells</t>
  </si>
  <si>
    <t xml:space="preserve">Design_Table</t>
  </si>
  <si>
    <t xml:space="preserve">Per-key dimensions (F#m, Em, Dm, Am). Bore length, wall, drone chamber, SAC, total length.</t>
  </si>
  <si>
    <t xml:space="preserve">Inputs only</t>
  </si>
  <si>
    <t xml:space="preserve">Hole_Schedule</t>
  </si>
  <si>
    <t xml:space="preserve">Six-hole pentatonic minor scale layout per key — frequency, position from foot, diameter.</t>
  </si>
  <si>
    <t xml:space="preserve">Diameters only</t>
  </si>
  <si>
    <t xml:space="preserve">Wood_Library</t>
  </si>
  <si>
    <t xml:space="preserve">Tonewood reference (E, ρ, Janka). Walnut + Maple are the chosen pair; alternates listed.</t>
  </si>
  <si>
    <t xml:space="preserve">Reference</t>
  </si>
  <si>
    <t xml:space="preserve">Inlay_Layout</t>
  </si>
  <si>
    <t xml:space="preserve">Geometric band positions on the body and feature-panel sizing for each key.</t>
  </si>
  <si>
    <t xml:space="preserve">Color key</t>
  </si>
  <si>
    <t xml:space="preserve">Blue text on light blue = USER INPUT</t>
  </si>
  <si>
    <t xml:space="preserve">Black text = formula (do not edit — overwriting destroys the parametric chain)</t>
  </si>
  <si>
    <t xml:space="preserve">Master Inputs — Global Variables</t>
  </si>
  <si>
    <t xml:space="preserve">These are the ONLY hand-edited values in the workbook. Every other sheet derives from these.</t>
  </si>
  <si>
    <t xml:space="preserve">Names match the global variables in the SolidWorks master layout (see SW reference doc).</t>
  </si>
  <si>
    <t xml:space="preserve">ACOUSTIC CONSTANTS</t>
  </si>
  <si>
    <t xml:space="preserve">Variable</t>
  </si>
  <si>
    <t xml:space="preserve">Value</t>
  </si>
  <si>
    <t xml:space="preserve">Unit</t>
  </si>
  <si>
    <t xml:space="preserve">Notes</t>
  </si>
  <si>
    <t xml:space="preserve">c_speed_of_sound</t>
  </si>
  <si>
    <t xml:space="preserve">in/s</t>
  </si>
  <si>
    <t xml:space="preserve">Speed of sound at 68°F (20°C). Adjust if shop temp differs significantly.</t>
  </si>
  <si>
    <t xml:space="preserve">T_shop_temp_F</t>
  </si>
  <si>
    <t xml:space="preserve">°F</t>
  </si>
  <si>
    <t xml:space="preserve">Shop reference temperature. c = 13190.6 * SQRT(1 + (T-32)/(1.8*273.15))</t>
  </si>
  <si>
    <t xml:space="preserve">A4_reference</t>
  </si>
  <si>
    <t xml:space="preserve">Hz</t>
  </si>
  <si>
    <t xml:space="preserve">Concert pitch reference. A4 = 440 Hz. Change to 432 for alt tuning.</t>
  </si>
  <si>
    <t xml:space="preserve">end_correction_k</t>
  </si>
  <si>
    <t xml:space="preserve">-</t>
  </si>
  <si>
    <t xml:space="preserve">Open-end correction multiplier. f_eff_extra_length = k × radius.</t>
  </si>
  <si>
    <t xml:space="preserve">SAC + BIRD GEOMETRY</t>
  </si>
  <si>
    <t xml:space="preserve">SAC_length</t>
  </si>
  <si>
    <t xml:space="preserve">in</t>
  </si>
  <si>
    <t xml:space="preserve">Slow Air Chamber length. Standard NAF range 5–6". Affects breath response.</t>
  </si>
  <si>
    <t xml:space="preserve">SAC_wall_thickness</t>
  </si>
  <si>
    <t xml:space="preserve">Wall between SAC and main bore (the "splitting edge" wall).</t>
  </si>
  <si>
    <t xml:space="preserve">flue_gap</t>
  </si>
  <si>
    <t xml:space="preserve">Window/flue gap. Critical for tone — typical 0.030–0.050".</t>
  </si>
  <si>
    <t xml:space="preserve">bird_length</t>
  </si>
  <si>
    <t xml:space="preserve">Length of the totem/bird block sitting on top of the SAC.</t>
  </si>
  <si>
    <t xml:space="preserve">bird_height</t>
  </si>
  <si>
    <t xml:space="preserve">Height of bird block above the body OD.</t>
  </si>
  <si>
    <t xml:space="preserve">window_length</t>
  </si>
  <si>
    <t xml:space="preserve">TSH (true sound hole) window length under the bird.</t>
  </si>
  <si>
    <t xml:space="preserve">window_width</t>
  </si>
  <si>
    <t xml:space="preserve">Window width.</t>
  </si>
  <si>
    <t xml:space="preserve">DRONE BLOCK (TUNABLE/SWAPPABLE)</t>
  </si>
  <si>
    <t xml:space="preserve">drone_offset_semitones</t>
  </si>
  <si>
    <t xml:space="preserve">st</t>
  </si>
  <si>
    <t xml:space="preserve">Drone tuning offset from melody fundamental. 0=unison, -7=5th below, -12=octave below.</t>
  </si>
  <si>
    <t xml:space="preserve">drone_block_length</t>
  </si>
  <si>
    <t xml:space="preserve">Length of swappable drone foot block. Three blocks made: unison/-7/-12.</t>
  </si>
  <si>
    <t xml:space="preserve">drone_block_OD_factor</t>
  </si>
  <si>
    <t xml:space="preserve">Drone block OD multiplier vs body OD. 1.0 = same. &gt;1 = stepped foot.</t>
  </si>
  <si>
    <t xml:space="preserve">drone_tenon_length</t>
  </si>
  <si>
    <t xml:space="preserve">Length of tenon engagement into main body (drilled socket).</t>
  </si>
  <si>
    <t xml:space="preserve">drone_tenon_clearance</t>
  </si>
  <si>
    <t xml:space="preserve">Slip-fit clearance: tenon OD = socket ID − this. 0.003–0.008".</t>
  </si>
  <si>
    <t xml:space="preserve">FACETED EXTERIOR (HYBRID CONSTRUCTION)</t>
  </si>
  <si>
    <t xml:space="preserve">n_facets</t>
  </si>
  <si>
    <t xml:space="preserve">count</t>
  </si>
  <si>
    <t xml:space="preserve">Number of flat sides around the body. 8 = octagon (selected).</t>
  </si>
  <si>
    <t xml:space="preserve">facet_chord_factor</t>
  </si>
  <si>
    <t xml:space="preserve">TAN(PI/n_facets). For octagon = 0.4142. Side length = OD x this.</t>
  </si>
  <si>
    <t xml:space="preserve">facet_inlay_inset</t>
  </si>
  <si>
    <t xml:space="preserve">Inset from facet edge for inlay banding (per side).</t>
  </si>
  <si>
    <t xml:space="preserve">OD_to_flat_factor</t>
  </si>
  <si>
    <t xml:space="preserve">After faceting, OD becomes flat-to-flat. Round blank turned to ID + 2*wall + facet allowance.</t>
  </si>
  <si>
    <t xml:space="preserve">facet_allowance</t>
  </si>
  <si>
    <t xml:space="preserve">Extra material left for faceting passes after lathe rounding.</t>
  </si>
  <si>
    <t xml:space="preserve">K2 EMPIRICAL CORRECTIONS BY BORE (Tony's data)</t>
  </si>
  <si>
    <t xml:space="preserve">Bore_lower</t>
  </si>
  <si>
    <t xml:space="preserve">Bore_upper</t>
  </si>
  <si>
    <t xml:space="preserve">K2_correction</t>
  </si>
  <si>
    <t xml:space="preserve">Small bore — model overestimates length</t>
  </si>
  <si>
    <t xml:space="preserve">Std small NAF bore</t>
  </si>
  <si>
    <t xml:space="preserve">Crossover / neutral</t>
  </si>
  <si>
    <t xml:space="preserve">Mid</t>
  </si>
  <si>
    <t xml:space="preserve">Large bore — model underestimates length</t>
  </si>
  <si>
    <t xml:space="preserve">Drone Flute Design Table</t>
  </si>
  <si>
    <t xml:space="preserve">Per-key dimensions. Blue cells are inputs; everything else is a formula.</t>
  </si>
  <si>
    <t xml:space="preserve">Drone offset is shared from Master_Inputs.drone_offset_semitones (default 0 = unison).</t>
  </si>
  <si>
    <t xml:space="preserve">Parameter</t>
  </si>
  <si>
    <t xml:space="preserve">Am</t>
  </si>
  <si>
    <t xml:space="preserve">F#m</t>
  </si>
  <si>
    <t xml:space="preserve">Em</t>
  </si>
  <si>
    <t xml:space="preserve">Dm</t>
  </si>
  <si>
    <t xml:space="preserve">PITCH &amp; FREQUENCY</t>
  </si>
  <si>
    <t xml:space="preserve">MIDI_note</t>
  </si>
  <si>
    <t xml:space="preserve">midi#</t>
  </si>
  <si>
    <t xml:space="preserve">fundamental_freq</t>
  </si>
  <si>
    <t xml:space="preserve">drone_freq</t>
  </si>
  <si>
    <t xml:space="preserve">BORE &amp; BODY DIMENSIONS</t>
  </si>
  <si>
    <t xml:space="preserve">bore_ID</t>
  </si>
  <si>
    <t xml:space="preserve">wall_thickness</t>
  </si>
  <si>
    <t xml:space="preserve">body_OD_round</t>
  </si>
  <si>
    <t xml:space="preserve">body_OD_flat_to_flat</t>
  </si>
  <si>
    <t xml:space="preserve">facet_side_length</t>
  </si>
  <si>
    <t xml:space="preserve">%</t>
  </si>
  <si>
    <t xml:space="preserve">ACOUSTIC LENGTHS (open-open pipe)</t>
  </si>
  <si>
    <t xml:space="preserve">L_acoustic_raw</t>
  </si>
  <si>
    <t xml:space="preserve">L_acoustic_corrected</t>
  </si>
  <si>
    <t xml:space="preserve">end_corr_each_end</t>
  </si>
  <si>
    <t xml:space="preserve">L_bore_physical</t>
  </si>
  <si>
    <t xml:space="preserve">chamber_to_bore_ratio</t>
  </si>
  <si>
    <t xml:space="preserve">DRONE CHAMBER (separate parallel bore)</t>
  </si>
  <si>
    <t xml:space="preserve">drone_bore_ID</t>
  </si>
  <si>
    <t xml:space="preserve">drone_K2</t>
  </si>
  <si>
    <t xml:space="preserve">drone_L_acoustic</t>
  </si>
  <si>
    <t xml:space="preserve">drone_end_corr</t>
  </si>
  <si>
    <t xml:space="preserve">drone_L_physical</t>
  </si>
  <si>
    <t xml:space="preserve">drone_block_total_L</t>
  </si>
  <si>
    <t xml:space="preserve">TOTAL FLUTE LENGTH</t>
  </si>
  <si>
    <t xml:space="preserve">L_SAC</t>
  </si>
  <si>
    <t xml:space="preserve">L_total_flute</t>
  </si>
  <si>
    <t xml:space="preserve">L_total_with_drone</t>
  </si>
  <si>
    <t xml:space="preserve">STOCK / BLANK SIZING (rough cut)</t>
  </si>
  <si>
    <t xml:space="preserve">blank_length</t>
  </si>
  <si>
    <t xml:space="preserve">blank_thickness</t>
  </si>
  <si>
    <t xml:space="preserve">blank_width</t>
  </si>
  <si>
    <t xml:space="preserve">split_blank_thickness</t>
  </si>
  <si>
    <t xml:space="preserve">Hole Schedule — Pentatonic Minor (NAF Mode 1/4)</t>
  </si>
  <si>
    <t xml:space="preserve">Hole positions measured from FOOT (open end). Hole 1 is closest to the foot, plays m3.</t>
  </si>
  <si>
    <t xml:space="preserve">Formula: pos_from_foot = L_acoustic_corrected × (1 − fundamental_freq/hole_freq).  Window reference = L_acoustic − pos_from_foot.</t>
  </si>
  <si>
    <t xml:space="preserve">Hole</t>
  </si>
  <si>
    <t xml:space="preserve">Semitone offset →</t>
  </si>
  <si>
    <t xml:space="preserve">Δst</t>
  </si>
  <si>
    <t xml:space="preserve">pos from foot (in)</t>
  </si>
  <si>
    <t xml:space="preserve">Hole 1 (m3)</t>
  </si>
  <si>
    <t xml:space="preserve">Hole 2 (P4)</t>
  </si>
  <si>
    <t xml:space="preserve">Hole 3 (P5)</t>
  </si>
  <si>
    <t xml:space="preserve">Hole 4 (m6)</t>
  </si>
  <si>
    <t xml:space="preserve">Hole 5 (m7)</t>
  </si>
  <si>
    <t xml:space="preserve">Hole 6 (oct)</t>
  </si>
  <si>
    <t xml:space="preserve">HOLE DIAMETERS</t>
  </si>
  <si>
    <t xml:space="preserve">Am — Ø (in)</t>
  </si>
  <si>
    <t xml:space="preserve">F#m — Ø (in)</t>
  </si>
  <si>
    <t xml:space="preserve">Em — Ø (in)</t>
  </si>
  <si>
    <t xml:space="preserve">Dm — Ø (in)</t>
  </si>
  <si>
    <t xml:space="preserve">HOLE-TO-HOLE SPACING (check ≥ 0.40 in for finger comfort)</t>
  </si>
  <si>
    <t xml:space="preserve">Between</t>
  </si>
  <si>
    <t xml:space="preserve">Am — Δ (in)</t>
  </si>
  <si>
    <t xml:space="preserve">F#m — Δ (in)</t>
  </si>
  <si>
    <t xml:space="preserve">Em — Δ (in)</t>
  </si>
  <si>
    <t xml:space="preserve">Dm — Δ (in)</t>
  </si>
  <si>
    <t xml:space="preserve">H1↔H2</t>
  </si>
  <si>
    <t xml:space="preserve">H2↔H3</t>
  </si>
  <si>
    <t xml:space="preserve">H3↔H4</t>
  </si>
  <si>
    <t xml:space="preserve">H4↔H5</t>
  </si>
  <si>
    <t xml:space="preserve">H5↔H6</t>
  </si>
  <si>
    <t xml:space="preserve">CNC REFERENCE: POSITION FROM WINDOW (splitting edge)</t>
  </si>
  <si>
    <t xml:space="preserve">Am — pos from window (in)</t>
  </si>
  <si>
    <t xml:space="preserve">F#m — pos from window (in)</t>
  </si>
  <si>
    <t xml:space="preserve">Em — pos from window (in)</t>
  </si>
  <si>
    <t xml:space="preserve">Dm — pos from window (in)</t>
  </si>
  <si>
    <t xml:space="preserve">Tonewood Reference</t>
  </si>
  <si>
    <t xml:space="preserve">Walnut + Maple is the chosen pairing. Alternates listed for reference.</t>
  </si>
  <si>
    <t xml:space="preserve">Species</t>
  </si>
  <si>
    <t xml:space="preserve">Role</t>
  </si>
  <si>
    <t xml:space="preserve">E (GPa)</t>
  </si>
  <si>
    <t xml:space="preserve">ρ (kg/m³)</t>
  </si>
  <si>
    <t xml:space="preserve">Janka (lbf)</t>
  </si>
  <si>
    <t xml:space="preserve">Color</t>
  </si>
  <si>
    <t xml:space="preserve">Workability</t>
  </si>
  <si>
    <t xml:space="preserve">Black Walnut</t>
  </si>
  <si>
    <t xml:space="preserve">Body (chosen)</t>
  </si>
  <si>
    <t xml:space="preserve">Dark chocolate brown</t>
  </si>
  <si>
    <t xml:space="preserve">Excellent</t>
  </si>
  <si>
    <t xml:space="preserve">Stable, classic NAF body. Glues well after sealing pores.</t>
  </si>
  <si>
    <t xml:space="preserve">Hard Maple</t>
  </si>
  <si>
    <t xml:space="preserve">Inlay (chosen)</t>
  </si>
  <si>
    <t xml:space="preserve">Pale cream</t>
  </si>
  <si>
    <t xml:space="preserve">Good</t>
  </si>
  <si>
    <t xml:space="preserve">High contrast against walnut. Curly maple for premium versions.</t>
  </si>
  <si>
    <t xml:space="preserve">Cherry</t>
  </si>
  <si>
    <t xml:space="preserve">Body alt</t>
  </si>
  <si>
    <t xml:space="preserve">Warm reddish brown</t>
  </si>
  <si>
    <t xml:space="preserve">Darkens beautifully with UV. Good acoustic match.</t>
  </si>
  <si>
    <t xml:space="preserve">Padauk</t>
  </si>
  <si>
    <t xml:space="preserve">Inlay accent alt</t>
  </si>
  <si>
    <t xml:space="preserve">Bright orange-red</t>
  </si>
  <si>
    <t xml:space="preserve">Stunning color but oxidizes to brown over years.</t>
  </si>
  <si>
    <t xml:space="preserve">Wenge</t>
  </si>
  <si>
    <t xml:space="preserve">Inlay alt</t>
  </si>
  <si>
    <t xml:space="preserve">Near-black with stripe</t>
  </si>
  <si>
    <t xml:space="preserve">Difficult</t>
  </si>
  <si>
    <t xml:space="preserve">Splintery — wear gloves. Striking with maple.</t>
  </si>
  <si>
    <t xml:space="preserve">Yellowheart</t>
  </si>
  <si>
    <t xml:space="preserve">Inlay accent</t>
  </si>
  <si>
    <t xml:space="preserve">Bright yellow</t>
  </si>
  <si>
    <t xml:space="preserve">Holds color well. Use for small accents (stars, dots).</t>
  </si>
  <si>
    <t xml:space="preserve">Western Red Cedar</t>
  </si>
  <si>
    <t xml:space="preserve">Body (light/airy)</t>
  </si>
  <si>
    <t xml:space="preserve">Pinkish brown</t>
  </si>
  <si>
    <t xml:space="preserve">Ultra-light bodies. Lower density = brighter tone.</t>
  </si>
  <si>
    <t xml:space="preserve">Mahogany</t>
  </si>
  <si>
    <t xml:space="preserve">Reddish brown</t>
  </si>
  <si>
    <t xml:space="preserve">Warm tone, stable, easy to CNC.</t>
  </si>
  <si>
    <t xml:space="preserve">Inlay Layout — Geometric Bands + Feature Panel</t>
  </si>
  <si>
    <t xml:space="preserve">Broinwood-inspired geometric bands wrapping around all 8 facets, plus one feature panel near the bird block.</t>
  </si>
  <si>
    <t xml:space="preserve">FACET LAYOUT</t>
  </si>
  <si>
    <t xml:space="preserve">inlay_band_width</t>
  </si>
  <si>
    <t xml:space="preserve">GEOMETRIC BAND POSITIONS (from foot)</t>
  </si>
  <si>
    <t xml:space="preserve">band1_pct</t>
  </si>
  <si>
    <t xml:space="preserve">band2_pct</t>
  </si>
  <si>
    <t xml:space="preserve">band3_pct</t>
  </si>
  <si>
    <t xml:space="preserve">band1_pos_from_foot</t>
  </si>
  <si>
    <t xml:space="preserve">band2_pos_from_foot</t>
  </si>
  <si>
    <t xml:space="preserve">band3_pos_from_foot</t>
  </si>
  <si>
    <t xml:space="preserve">GEOMETRIC BAND DIMENSIONS</t>
  </si>
  <si>
    <t xml:space="preserve">band_height</t>
  </si>
  <si>
    <t xml:space="preserve">band_inlay_depth</t>
  </si>
  <si>
    <t xml:space="preserve">band_pattern</t>
  </si>
  <si>
    <t xml:space="preserve">chevron_pitch</t>
  </si>
  <si>
    <t xml:space="preserve">FEATURE PANEL (one facet, between band2 and band3)</t>
  </si>
  <si>
    <t xml:space="preserve">feature_facet_index</t>
  </si>
  <si>
    <t xml:space="preserve">feature_panel_height</t>
  </si>
  <si>
    <t xml:space="preserve">feature_panel_pos_from_foot</t>
  </si>
  <si>
    <t xml:space="preserve">feature_pattern</t>
  </si>
  <si>
    <t xml:space="preserve">feature_inlay_depth</t>
  </si>
  <si>
    <t xml:space="preserve">CNC POCKET STRATEGY</t>
  </si>
  <si>
    <t xml:space="preserve">pocket_bit</t>
  </si>
  <si>
    <t xml:space="preserve">1/16" upcut</t>
  </si>
  <si>
    <t xml:space="preserve">plug_bit</t>
  </si>
  <si>
    <t xml:space="preserve">plug_oversize</t>
  </si>
  <si>
    <t xml:space="preserve">pocket_clearance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</si>
</sst>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%"/>
    <numFmt numFmtId="166" formatCode="0"/>
    <numFmt numFmtId="167" formatCode="0.00"/>
    <numFmt numFmtId="168" formatCode="0.000"/>
    <numFmt numFmtId="169" formatCode="0.00%"/>
    <numFmt numFmtId="170" formatCode="0.0"/>
    <numFmt numFmtId="171" formatCode="0.0&quot; mm&quot;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305496"/>
        <bgColor rgb="FF1F3864"/>
      </patternFill>
    </fill>
    <fill>
      <patternFill patternType="solid">
        <fgColor rgb="FFD6E4F0"/>
        <bgColor rgb="FFDDEBF7"/>
      </patternFill>
    </fill>
    <fill>
      <patternFill patternType="solid">
        <fgColor rgb="FFDDEBF7"/>
        <bgColor rgb="FFD6E4F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0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78"/>
    <col collapsed="false" customWidth="true" hidden="false" outlineLevel="0" max="3" min="3" style="0" width="14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3" customFormat="false" ht="15" hidden="false" customHeight="false" outlineLevel="0" collapsed="false">
      <c r="A3" s="2" t="s">
        <v>2</v>
      </c>
      <c r="B3" s="2"/>
      <c r="C3" s="2"/>
      <c r="D3" s="2"/>
      <c r="E3" s="2"/>
    </row>
    <row r="5" customFormat="false" ht="15" hidden="false" customHeight="false" outlineLevel="0" collapsed="false">
      <c r="A5" s="3" t="s">
        <v>3</v>
      </c>
      <c r="B5" s="3" t="s">
        <v>4</v>
      </c>
      <c r="C5" s="3" t="s">
        <v>5</v>
      </c>
    </row>
    <row r="6" customFormat="false" ht="15" hidden="false" customHeight="false" outlineLevel="0" collapsed="false">
      <c r="A6" s="4" t="s">
        <v>6</v>
      </c>
      <c r="B6" s="5" t="s">
        <v>7</v>
      </c>
      <c r="C6" s="4" t="s">
        <v>8</v>
      </c>
    </row>
    <row r="7" customFormat="false" ht="15" hidden="false" customHeight="false" outlineLevel="0" collapsed="false">
      <c r="A7" s="4" t="s">
        <v>9</v>
      </c>
      <c r="B7" s="5" t="s">
        <v>10</v>
      </c>
      <c r="C7" s="4" t="s">
        <v>11</v>
      </c>
    </row>
    <row r="8" customFormat="false" ht="15" hidden="false" customHeight="false" outlineLevel="0" collapsed="false">
      <c r="A8" s="4" t="s">
        <v>12</v>
      </c>
      <c r="B8" s="5" t="s">
        <v>13</v>
      </c>
      <c r="C8" s="4" t="s">
        <v>14</v>
      </c>
    </row>
    <row r="9" customFormat="false" ht="15" hidden="false" customHeight="false" outlineLevel="0" collapsed="false">
      <c r="A9" s="4" t="s">
        <v>15</v>
      </c>
      <c r="B9" s="5" t="s">
        <v>16</v>
      </c>
      <c r="C9" s="4" t="s">
        <v>17</v>
      </c>
    </row>
    <row r="10" customFormat="false" ht="15" hidden="false" customHeight="false" outlineLevel="0" collapsed="false">
      <c r="A10" s="4" t="s">
        <v>18</v>
      </c>
      <c r="B10" s="5" t="s">
        <v>19</v>
      </c>
      <c r="C10" s="4" t="s">
        <v>11</v>
      </c>
    </row>
    <row r="13" customFormat="false" ht="15" hidden="false" customHeight="false" outlineLevel="0" collapsed="false">
      <c r="A13" s="6" t="s">
        <v>20</v>
      </c>
    </row>
    <row r="14" customFormat="false" ht="15" hidden="false" customHeight="false" outlineLevel="0" collapsed="false">
      <c r="A14" s="7" t="s">
        <v>21</v>
      </c>
    </row>
    <row r="15" customFormat="false" ht="15" hidden="false" customHeight="false" outlineLevel="0" collapsed="false">
      <c r="A15" s="8" t="s">
        <v>22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4" min="4" style="0" width="70"/>
  </cols>
  <sheetData>
    <row r="1" customFormat="false" ht="17.35" hidden="false" customHeight="false" outlineLevel="0" collapsed="false">
      <c r="A1" s="1" t="s">
        <v>23</v>
      </c>
      <c r="B1" s="1"/>
      <c r="C1" s="1"/>
      <c r="D1" s="1"/>
    </row>
    <row r="2" customFormat="false" ht="15" hidden="false" customHeight="false" outlineLevel="0" collapsed="false">
      <c r="A2" s="2" t="s">
        <v>24</v>
      </c>
      <c r="B2" s="2"/>
      <c r="C2" s="2"/>
      <c r="D2" s="2"/>
    </row>
    <row r="3" customFormat="false" ht="15" hidden="false" customHeight="false" outlineLevel="0" collapsed="false">
      <c r="A3" s="2" t="s">
        <v>25</v>
      </c>
      <c r="B3" s="2"/>
      <c r="C3" s="2"/>
      <c r="D3" s="2"/>
    </row>
    <row r="5" customFormat="false" ht="15" hidden="false" customHeight="false" outlineLevel="0" collapsed="false">
      <c r="A5" s="9" t="s">
        <v>26</v>
      </c>
      <c r="B5" s="9"/>
      <c r="C5" s="9"/>
      <c r="D5" s="9"/>
    </row>
    <row r="6" customFormat="false" ht="15" hidden="false" customHeight="false" outlineLevel="0" collapsed="false">
      <c r="A6" s="3" t="s">
        <v>27</v>
      </c>
      <c r="B6" s="3" t="s">
        <v>28</v>
      </c>
      <c r="C6" s="3" t="s">
        <v>29</v>
      </c>
      <c r="D6" s="3" t="s">
        <v>30</v>
      </c>
    </row>
    <row r="7" customFormat="false" ht="15" hidden="false" customHeight="false" outlineLevel="0" collapsed="false">
      <c r="A7" s="5" t="s">
        <v>31</v>
      </c>
      <c r="B7" s="10" t="n">
        <v>13552</v>
      </c>
      <c r="C7" s="4" t="s">
        <v>32</v>
      </c>
      <c r="D7" s="11" t="s">
        <v>33</v>
      </c>
    </row>
    <row r="8" customFormat="false" ht="15" hidden="false" customHeight="false" outlineLevel="0" collapsed="false">
      <c r="A8" s="5" t="s">
        <v>34</v>
      </c>
      <c r="B8" s="10" t="n">
        <v>68</v>
      </c>
      <c r="C8" s="4" t="s">
        <v>35</v>
      </c>
      <c r="D8" s="11" t="s">
        <v>36</v>
      </c>
    </row>
    <row r="9" customFormat="false" ht="15" hidden="false" customHeight="false" outlineLevel="0" collapsed="false">
      <c r="A9" s="5" t="s">
        <v>37</v>
      </c>
      <c r="B9" s="10" t="n">
        <v>440</v>
      </c>
      <c r="C9" s="4" t="s">
        <v>38</v>
      </c>
      <c r="D9" s="11" t="s">
        <v>39</v>
      </c>
    </row>
    <row r="10" customFormat="false" ht="15" hidden="false" customHeight="false" outlineLevel="0" collapsed="false">
      <c r="A10" s="5" t="s">
        <v>40</v>
      </c>
      <c r="B10" s="10" t="n">
        <v>0.6</v>
      </c>
      <c r="C10" s="4" t="s">
        <v>41</v>
      </c>
      <c r="D10" s="11" t="s">
        <v>42</v>
      </c>
    </row>
    <row r="12" customFormat="false" ht="15" hidden="false" customHeight="false" outlineLevel="0" collapsed="false">
      <c r="A12" s="9" t="s">
        <v>43</v>
      </c>
      <c r="B12" s="9"/>
      <c r="C12" s="9"/>
      <c r="D12" s="9"/>
    </row>
    <row r="13" customFormat="false" ht="15" hidden="false" customHeight="false" outlineLevel="0" collapsed="false">
      <c r="A13" s="5" t="s">
        <v>44</v>
      </c>
      <c r="B13" s="10" t="n">
        <v>5.5</v>
      </c>
      <c r="C13" s="4" t="s">
        <v>45</v>
      </c>
      <c r="D13" s="11" t="s">
        <v>46</v>
      </c>
    </row>
    <row r="14" customFormat="false" ht="15" hidden="false" customHeight="false" outlineLevel="0" collapsed="false">
      <c r="A14" s="5" t="s">
        <v>47</v>
      </c>
      <c r="B14" s="10" t="n">
        <v>0.25</v>
      </c>
      <c r="C14" s="4" t="s">
        <v>45</v>
      </c>
      <c r="D14" s="11" t="s">
        <v>48</v>
      </c>
    </row>
    <row r="15" customFormat="false" ht="15" hidden="false" customHeight="false" outlineLevel="0" collapsed="false">
      <c r="A15" s="5" t="s">
        <v>49</v>
      </c>
      <c r="B15" s="10" t="n">
        <v>0.04</v>
      </c>
      <c r="C15" s="4" t="s">
        <v>45</v>
      </c>
      <c r="D15" s="11" t="s">
        <v>50</v>
      </c>
    </row>
    <row r="16" customFormat="false" ht="15" hidden="false" customHeight="false" outlineLevel="0" collapsed="false">
      <c r="A16" s="5" t="s">
        <v>51</v>
      </c>
      <c r="B16" s="10" t="n">
        <v>2</v>
      </c>
      <c r="C16" s="4" t="s">
        <v>45</v>
      </c>
      <c r="D16" s="11" t="s">
        <v>52</v>
      </c>
    </row>
    <row r="17" customFormat="false" ht="15" hidden="false" customHeight="false" outlineLevel="0" collapsed="false">
      <c r="A17" s="5" t="s">
        <v>53</v>
      </c>
      <c r="B17" s="10" t="n">
        <v>0.75</v>
      </c>
      <c r="C17" s="4" t="s">
        <v>45</v>
      </c>
      <c r="D17" s="11" t="s">
        <v>54</v>
      </c>
    </row>
    <row r="18" customFormat="false" ht="15" hidden="false" customHeight="false" outlineLevel="0" collapsed="false">
      <c r="A18" s="5" t="s">
        <v>55</v>
      </c>
      <c r="B18" s="10" t="n">
        <v>0.625</v>
      </c>
      <c r="C18" s="4" t="s">
        <v>45</v>
      </c>
      <c r="D18" s="11" t="s">
        <v>56</v>
      </c>
    </row>
    <row r="19" customFormat="false" ht="15" hidden="false" customHeight="false" outlineLevel="0" collapsed="false">
      <c r="A19" s="5" t="s">
        <v>57</v>
      </c>
      <c r="B19" s="10" t="n">
        <v>0.625</v>
      </c>
      <c r="C19" s="4" t="s">
        <v>45</v>
      </c>
      <c r="D19" s="11" t="s">
        <v>58</v>
      </c>
    </row>
    <row r="21" customFormat="false" ht="15" hidden="false" customHeight="false" outlineLevel="0" collapsed="false">
      <c r="A21" s="9" t="s">
        <v>59</v>
      </c>
      <c r="B21" s="9"/>
      <c r="C21" s="9"/>
      <c r="D21" s="9"/>
    </row>
    <row r="22" customFormat="false" ht="15" hidden="false" customHeight="false" outlineLevel="0" collapsed="false">
      <c r="A22" s="5" t="s">
        <v>60</v>
      </c>
      <c r="B22" s="10" t="n">
        <v>0</v>
      </c>
      <c r="C22" s="4" t="s">
        <v>61</v>
      </c>
      <c r="D22" s="11" t="s">
        <v>62</v>
      </c>
    </row>
    <row r="23" customFormat="false" ht="15" hidden="false" customHeight="false" outlineLevel="0" collapsed="false">
      <c r="A23" s="5" t="s">
        <v>63</v>
      </c>
      <c r="B23" s="10" t="n">
        <v>3.5</v>
      </c>
      <c r="C23" s="4" t="s">
        <v>45</v>
      </c>
      <c r="D23" s="11" t="s">
        <v>64</v>
      </c>
    </row>
    <row r="24" customFormat="false" ht="15" hidden="false" customHeight="false" outlineLevel="0" collapsed="false">
      <c r="A24" s="5" t="s">
        <v>65</v>
      </c>
      <c r="B24" s="10" t="n">
        <v>1</v>
      </c>
      <c r="C24" s="4" t="s">
        <v>41</v>
      </c>
      <c r="D24" s="11" t="s">
        <v>66</v>
      </c>
    </row>
    <row r="25" customFormat="false" ht="15" hidden="false" customHeight="false" outlineLevel="0" collapsed="false">
      <c r="A25" s="5" t="s">
        <v>67</v>
      </c>
      <c r="B25" s="10" t="n">
        <v>0.75</v>
      </c>
      <c r="C25" s="4" t="s">
        <v>45</v>
      </c>
      <c r="D25" s="11" t="s">
        <v>68</v>
      </c>
    </row>
    <row r="26" customFormat="false" ht="15" hidden="false" customHeight="false" outlineLevel="0" collapsed="false">
      <c r="A26" s="5" t="s">
        <v>69</v>
      </c>
      <c r="B26" s="10" t="n">
        <v>0.005</v>
      </c>
      <c r="C26" s="4" t="s">
        <v>45</v>
      </c>
      <c r="D26" s="11" t="s">
        <v>70</v>
      </c>
    </row>
    <row r="28" customFormat="false" ht="15" hidden="false" customHeight="false" outlineLevel="0" collapsed="false">
      <c r="A28" s="9" t="s">
        <v>71</v>
      </c>
      <c r="B28" s="9"/>
      <c r="C28" s="9"/>
      <c r="D28" s="9"/>
    </row>
    <row r="29" customFormat="false" ht="15" hidden="false" customHeight="false" outlineLevel="0" collapsed="false">
      <c r="A29" s="5" t="s">
        <v>72</v>
      </c>
      <c r="B29" s="10" t="n">
        <v>8</v>
      </c>
      <c r="C29" s="4" t="s">
        <v>73</v>
      </c>
      <c r="D29" s="11" t="s">
        <v>74</v>
      </c>
    </row>
    <row r="30" customFormat="false" ht="15" hidden="false" customHeight="false" outlineLevel="0" collapsed="false">
      <c r="A30" s="5" t="s">
        <v>75</v>
      </c>
      <c r="B30" s="10" t="n">
        <v>0.4142</v>
      </c>
      <c r="C30" s="4" t="s">
        <v>41</v>
      </c>
      <c r="D30" s="11" t="s">
        <v>76</v>
      </c>
    </row>
    <row r="31" customFormat="false" ht="15" hidden="false" customHeight="false" outlineLevel="0" collapsed="false">
      <c r="A31" s="5" t="s">
        <v>77</v>
      </c>
      <c r="B31" s="10" t="n">
        <v>0.1</v>
      </c>
      <c r="C31" s="4" t="s">
        <v>45</v>
      </c>
      <c r="D31" s="11" t="s">
        <v>78</v>
      </c>
    </row>
    <row r="32" customFormat="false" ht="15" hidden="false" customHeight="false" outlineLevel="0" collapsed="false">
      <c r="A32" s="5" t="s">
        <v>79</v>
      </c>
      <c r="B32" s="10" t="n">
        <v>1</v>
      </c>
      <c r="C32" s="4" t="s">
        <v>41</v>
      </c>
      <c r="D32" s="11" t="s">
        <v>80</v>
      </c>
    </row>
    <row r="33" customFormat="false" ht="15" hidden="false" customHeight="false" outlineLevel="0" collapsed="false">
      <c r="A33" s="5" t="s">
        <v>81</v>
      </c>
      <c r="B33" s="10" t="n">
        <v>0.05</v>
      </c>
      <c r="C33" s="4" t="s">
        <v>45</v>
      </c>
      <c r="D33" s="11" t="s">
        <v>82</v>
      </c>
    </row>
    <row r="35" customFormat="false" ht="15" hidden="false" customHeight="false" outlineLevel="0" collapsed="false">
      <c r="A35" s="9" t="s">
        <v>83</v>
      </c>
      <c r="B35" s="9"/>
      <c r="C35" s="9"/>
      <c r="D35" s="9"/>
    </row>
    <row r="36" customFormat="false" ht="15" hidden="false" customHeight="false" outlineLevel="0" collapsed="false">
      <c r="A36" s="3" t="s">
        <v>84</v>
      </c>
      <c r="B36" s="3" t="s">
        <v>85</v>
      </c>
      <c r="C36" s="3" t="s">
        <v>86</v>
      </c>
      <c r="D36" s="3" t="s">
        <v>30</v>
      </c>
    </row>
    <row r="37" customFormat="false" ht="15" hidden="false" customHeight="false" outlineLevel="0" collapsed="false">
      <c r="A37" s="10" t="n">
        <v>0</v>
      </c>
      <c r="B37" s="10" t="n">
        <v>0.749</v>
      </c>
      <c r="C37" s="12" t="n">
        <v>-0.02</v>
      </c>
      <c r="D37" s="11" t="s">
        <v>87</v>
      </c>
    </row>
    <row r="38" customFormat="false" ht="15" hidden="false" customHeight="false" outlineLevel="0" collapsed="false">
      <c r="A38" s="10" t="n">
        <v>0.75</v>
      </c>
      <c r="B38" s="10" t="n">
        <v>0.874</v>
      </c>
      <c r="C38" s="12" t="n">
        <v>-0.007</v>
      </c>
      <c r="D38" s="11" t="s">
        <v>88</v>
      </c>
    </row>
    <row r="39" customFormat="false" ht="15" hidden="false" customHeight="false" outlineLevel="0" collapsed="false">
      <c r="A39" s="10" t="n">
        <v>0.875</v>
      </c>
      <c r="B39" s="10" t="n">
        <v>0.999</v>
      </c>
      <c r="C39" s="12" t="n">
        <v>0.004</v>
      </c>
      <c r="D39" s="11" t="s">
        <v>89</v>
      </c>
    </row>
    <row r="40" customFormat="false" ht="15" hidden="false" customHeight="false" outlineLevel="0" collapsed="false">
      <c r="A40" s="10" t="n">
        <v>1</v>
      </c>
      <c r="B40" s="10" t="n">
        <v>1.124</v>
      </c>
      <c r="C40" s="12" t="n">
        <v>0.007</v>
      </c>
      <c r="D40" s="11" t="s">
        <v>90</v>
      </c>
    </row>
    <row r="41" customFormat="false" ht="15" hidden="false" customHeight="false" outlineLevel="0" collapsed="false">
      <c r="A41" s="10" t="n">
        <v>1.125</v>
      </c>
      <c r="B41" s="10" t="n">
        <v>9.999</v>
      </c>
      <c r="C41" s="12" t="n">
        <v>0.013</v>
      </c>
      <c r="D41" s="11" t="s">
        <v>91</v>
      </c>
    </row>
  </sheetData>
  <mergeCells count="8">
    <mergeCell ref="A1:D1"/>
    <mergeCell ref="A2:D2"/>
    <mergeCell ref="A3:D3"/>
    <mergeCell ref="A5:D5"/>
    <mergeCell ref="A12:D12"/>
    <mergeCell ref="A21:D21"/>
    <mergeCell ref="A28:D28"/>
    <mergeCell ref="A35:D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8"/>
    <col collapsed="false" customWidth="true" hidden="false" outlineLevel="0" max="6" min="3" style="0" width="13"/>
  </cols>
  <sheetData>
    <row r="1" customFormat="false" ht="17.35" hidden="false" customHeight="false" outlineLevel="0" collapsed="false">
      <c r="A1" s="1" t="s">
        <v>92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93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2" t="s">
        <v>94</v>
      </c>
      <c r="B3" s="2"/>
      <c r="C3" s="2"/>
      <c r="D3" s="2"/>
      <c r="E3" s="2"/>
      <c r="F3" s="2"/>
    </row>
    <row r="5" customFormat="false" ht="15" hidden="false" customHeight="false" outlineLevel="0" collapsed="false">
      <c r="A5" s="3" t="s">
        <v>95</v>
      </c>
      <c r="B5" s="3" t="s">
        <v>29</v>
      </c>
      <c r="C5" s="3" t="s">
        <v>96</v>
      </c>
      <c r="D5" s="3" t="s">
        <v>97</v>
      </c>
      <c r="E5" s="3" t="s">
        <v>98</v>
      </c>
      <c r="F5" s="3" t="s">
        <v>99</v>
      </c>
    </row>
    <row r="6" customFormat="false" ht="15" hidden="false" customHeight="false" outlineLevel="0" collapsed="false">
      <c r="A6" s="9" t="s">
        <v>100</v>
      </c>
      <c r="B6" s="9"/>
      <c r="C6" s="9"/>
      <c r="D6" s="9"/>
      <c r="E6" s="9"/>
      <c r="F6" s="9"/>
    </row>
    <row r="7" customFormat="false" ht="15" hidden="false" customHeight="false" outlineLevel="0" collapsed="false">
      <c r="A7" s="5" t="s">
        <v>101</v>
      </c>
      <c r="B7" s="13" t="s">
        <v>102</v>
      </c>
      <c r="C7" s="14" t="n">
        <v>69</v>
      </c>
      <c r="D7" s="14" t="n">
        <v>66</v>
      </c>
      <c r="E7" s="14" t="n">
        <v>64</v>
      </c>
      <c r="F7" s="14" t="n">
        <v>62</v>
      </c>
    </row>
    <row r="8" customFormat="false" ht="15" hidden="false" customHeight="false" outlineLevel="0" collapsed="false">
      <c r="A8" s="5" t="s">
        <v>103</v>
      </c>
      <c r="B8" s="13" t="s">
        <v>38</v>
      </c>
      <c r="C8" s="15" t="n">
        <f aca="false">A4_ref*POWER(2,(C7-69)/12)</f>
        <v>440</v>
      </c>
      <c r="D8" s="15" t="n">
        <f aca="false">A4_ref*POWER(2,(D7-69)/12)</f>
        <v>369.994422711634</v>
      </c>
      <c r="E8" s="15" t="n">
        <f aca="false">A4_ref*POWER(2,(E7-69)/12)</f>
        <v>329.62755691287</v>
      </c>
      <c r="F8" s="15" t="n">
        <f aca="false">A4_ref*POWER(2,(F7-69)/12)</f>
        <v>293.664767917408</v>
      </c>
    </row>
    <row r="9" customFormat="false" ht="15" hidden="false" customHeight="false" outlineLevel="0" collapsed="false">
      <c r="A9" s="5" t="s">
        <v>104</v>
      </c>
      <c r="B9" s="13" t="s">
        <v>38</v>
      </c>
      <c r="C9" s="15" t="n">
        <f aca="false">C8*POWER(2,drone_st/12)</f>
        <v>440</v>
      </c>
      <c r="D9" s="15" t="n">
        <f aca="false">D8*POWER(2,drone_st/12)</f>
        <v>369.994422711634</v>
      </c>
      <c r="E9" s="15" t="n">
        <f aca="false">E8*POWER(2,drone_st/12)</f>
        <v>329.62755691287</v>
      </c>
      <c r="F9" s="15" t="n">
        <f aca="false">F8*POWER(2,drone_st/12)</f>
        <v>293.664767917408</v>
      </c>
    </row>
    <row r="11" customFormat="false" ht="15" hidden="false" customHeight="false" outlineLevel="0" collapsed="false">
      <c r="A11" s="9" t="s">
        <v>105</v>
      </c>
      <c r="B11" s="9"/>
      <c r="C11" s="9"/>
      <c r="D11" s="9"/>
      <c r="E11" s="9"/>
      <c r="F11" s="9"/>
    </row>
    <row r="12" customFormat="false" ht="15" hidden="false" customHeight="false" outlineLevel="0" collapsed="false">
      <c r="A12" s="5" t="s">
        <v>106</v>
      </c>
      <c r="B12" s="13" t="s">
        <v>45</v>
      </c>
      <c r="C12" s="16" t="n">
        <v>0.75</v>
      </c>
      <c r="D12" s="16" t="n">
        <v>0.875</v>
      </c>
      <c r="E12" s="16" t="n">
        <v>1</v>
      </c>
      <c r="F12" s="16" t="n">
        <v>1.125</v>
      </c>
    </row>
    <row r="13" customFormat="false" ht="15" hidden="false" customHeight="false" outlineLevel="0" collapsed="false">
      <c r="A13" s="5" t="s">
        <v>107</v>
      </c>
      <c r="B13" s="13" t="s">
        <v>45</v>
      </c>
      <c r="C13" s="16" t="n">
        <v>0.25</v>
      </c>
      <c r="D13" s="16" t="n">
        <v>0.25</v>
      </c>
      <c r="E13" s="16" t="n">
        <v>0.25</v>
      </c>
      <c r="F13" s="16" t="n">
        <v>0.25</v>
      </c>
    </row>
    <row r="14" customFormat="false" ht="15" hidden="false" customHeight="false" outlineLevel="0" collapsed="false">
      <c r="A14" s="5" t="s">
        <v>108</v>
      </c>
      <c r="B14" s="13" t="s">
        <v>45</v>
      </c>
      <c r="C14" s="17" t="n">
        <f aca="false">C12+2*C13+Master_Inputs!$B$33</f>
        <v>1.3</v>
      </c>
      <c r="D14" s="17" t="n">
        <f aca="false">D12+2*D13+Master_Inputs!$B$33</f>
        <v>1.425</v>
      </c>
      <c r="E14" s="17" t="n">
        <f aca="false">E12+2*E13+Master_Inputs!$B$33</f>
        <v>1.55</v>
      </c>
      <c r="F14" s="17" t="n">
        <f aca="false">F12+2*F13+Master_Inputs!$B$33</f>
        <v>1.675</v>
      </c>
    </row>
    <row r="15" customFormat="false" ht="15" hidden="false" customHeight="false" outlineLevel="0" collapsed="false">
      <c r="A15" s="5" t="s">
        <v>109</v>
      </c>
      <c r="B15" s="13" t="s">
        <v>45</v>
      </c>
      <c r="C15" s="17" t="n">
        <f aca="false">C14-2*Master_Inputs!$B$33</f>
        <v>1.2</v>
      </c>
      <c r="D15" s="17" t="n">
        <f aca="false">D14-2*Master_Inputs!$B$33</f>
        <v>1.325</v>
      </c>
      <c r="E15" s="17" t="n">
        <f aca="false">E14-2*Master_Inputs!$B$33</f>
        <v>1.45</v>
      </c>
      <c r="F15" s="17" t="n">
        <f aca="false">F14-2*Master_Inputs!$B$33</f>
        <v>1.575</v>
      </c>
    </row>
    <row r="16" customFormat="false" ht="15" hidden="false" customHeight="false" outlineLevel="0" collapsed="false">
      <c r="A16" s="5" t="s">
        <v>110</v>
      </c>
      <c r="B16" s="13" t="s">
        <v>45</v>
      </c>
      <c r="C16" s="17" t="n">
        <f aca="false">C15*Master_Inputs!$B$30</f>
        <v>0.49704</v>
      </c>
      <c r="D16" s="17" t="n">
        <f aca="false">D15*Master_Inputs!$B$30</f>
        <v>0.548815</v>
      </c>
      <c r="E16" s="17" t="n">
        <f aca="false">E15*Master_Inputs!$B$30</f>
        <v>0.60059</v>
      </c>
      <c r="F16" s="17" t="n">
        <f aca="false">F15*Master_Inputs!$B$30</f>
        <v>0.652365</v>
      </c>
    </row>
    <row r="17" customFormat="false" ht="15" hidden="false" customHeight="false" outlineLevel="0" collapsed="false">
      <c r="A17" s="5" t="s">
        <v>86</v>
      </c>
      <c r="B17" s="13" t="s">
        <v>111</v>
      </c>
      <c r="C17" s="18" t="n">
        <f aca="false">VLOOKUP(C12,K2tbl,3,TRUE())</f>
        <v>-0.007</v>
      </c>
      <c r="D17" s="18" t="n">
        <f aca="false">VLOOKUP(D12,K2tbl,3,TRUE())</f>
        <v>0.004</v>
      </c>
      <c r="E17" s="18" t="n">
        <f aca="false">VLOOKUP(E12,K2tbl,3,TRUE())</f>
        <v>0.007</v>
      </c>
      <c r="F17" s="18" t="n">
        <f aca="false">VLOOKUP(F12,K2tbl,3,TRUE())</f>
        <v>0.013</v>
      </c>
    </row>
    <row r="19" customFormat="false" ht="15" hidden="false" customHeight="false" outlineLevel="0" collapsed="false">
      <c r="A19" s="9" t="s">
        <v>112</v>
      </c>
      <c r="B19" s="9"/>
      <c r="C19" s="9"/>
      <c r="D19" s="9"/>
      <c r="E19" s="9"/>
      <c r="F19" s="9"/>
    </row>
    <row r="20" customFormat="false" ht="15" hidden="false" customHeight="false" outlineLevel="0" collapsed="false">
      <c r="A20" s="5" t="s">
        <v>113</v>
      </c>
      <c r="B20" s="13" t="s">
        <v>45</v>
      </c>
      <c r="C20" s="17" t="n">
        <f aca="false">c_speed/(2*C8)</f>
        <v>15.4</v>
      </c>
      <c r="D20" s="17" t="n">
        <f aca="false">c_speed/(2*D8)</f>
        <v>18.3137895710419</v>
      </c>
      <c r="E20" s="17" t="n">
        <f aca="false">c_speed/(2*E8)</f>
        <v>20.5565337542185</v>
      </c>
      <c r="F20" s="17" t="n">
        <f aca="false">c_speed/(2*F8)</f>
        <v>23.0739289839009</v>
      </c>
    </row>
    <row r="21" customFormat="false" ht="15" hidden="false" customHeight="false" outlineLevel="0" collapsed="false">
      <c r="A21" s="5" t="s">
        <v>114</v>
      </c>
      <c r="B21" s="13" t="s">
        <v>45</v>
      </c>
      <c r="C21" s="17" t="n">
        <f aca="false">C20*(1+C17)</f>
        <v>15.2922</v>
      </c>
      <c r="D21" s="17" t="n">
        <f aca="false">D20*(1+D17)</f>
        <v>18.3870447293261</v>
      </c>
      <c r="E21" s="17" t="n">
        <f aca="false">E20*(1+E17)</f>
        <v>20.7004294904981</v>
      </c>
      <c r="F21" s="17" t="n">
        <f aca="false">F20*(1+F17)</f>
        <v>23.3738900606916</v>
      </c>
    </row>
    <row r="22" customFormat="false" ht="15" hidden="false" customHeight="false" outlineLevel="0" collapsed="false">
      <c r="A22" s="5" t="s">
        <v>115</v>
      </c>
      <c r="B22" s="13" t="s">
        <v>45</v>
      </c>
      <c r="C22" s="17" t="n">
        <f aca="false">end_k*C12/2</f>
        <v>0.225</v>
      </c>
      <c r="D22" s="17" t="n">
        <f aca="false">end_k*D12/2</f>
        <v>0.2625</v>
      </c>
      <c r="E22" s="17" t="n">
        <f aca="false">end_k*E12/2</f>
        <v>0.3</v>
      </c>
      <c r="F22" s="17" t="n">
        <f aca="false">end_k*F12/2</f>
        <v>0.3375</v>
      </c>
    </row>
    <row r="23" customFormat="false" ht="15" hidden="false" customHeight="false" outlineLevel="0" collapsed="false">
      <c r="A23" s="5" t="s">
        <v>116</v>
      </c>
      <c r="B23" s="13" t="s">
        <v>45</v>
      </c>
      <c r="C23" s="17" t="n">
        <f aca="false">C21-2*C22</f>
        <v>14.8422</v>
      </c>
      <c r="D23" s="17" t="n">
        <f aca="false">D21-2*D22</f>
        <v>17.8620447293261</v>
      </c>
      <c r="E23" s="17" t="n">
        <f aca="false">E21-2*E22</f>
        <v>20.1004294904981</v>
      </c>
      <c r="F23" s="17" t="n">
        <f aca="false">F21-2*F22</f>
        <v>22.6988900606916</v>
      </c>
    </row>
    <row r="24" customFormat="false" ht="15" hidden="false" customHeight="false" outlineLevel="0" collapsed="false">
      <c r="A24" s="5" t="s">
        <v>117</v>
      </c>
      <c r="B24" s="13" t="s">
        <v>41</v>
      </c>
      <c r="C24" s="19" t="n">
        <f aca="false">C21/C12</f>
        <v>20.3896</v>
      </c>
      <c r="D24" s="19" t="n">
        <f aca="false">D21/D12</f>
        <v>21.0137654049441</v>
      </c>
      <c r="E24" s="19" t="n">
        <f aca="false">E21/E12</f>
        <v>20.7004294904981</v>
      </c>
      <c r="F24" s="19" t="n">
        <f aca="false">F21/F12</f>
        <v>20.7767911650592</v>
      </c>
    </row>
    <row r="26" customFormat="false" ht="15" hidden="false" customHeight="false" outlineLevel="0" collapsed="false">
      <c r="A26" s="9" t="s">
        <v>118</v>
      </c>
      <c r="B26" s="9"/>
      <c r="C26" s="9"/>
      <c r="D26" s="9"/>
      <c r="E26" s="9"/>
      <c r="F26" s="9"/>
    </row>
    <row r="27" customFormat="false" ht="15" hidden="false" customHeight="false" outlineLevel="0" collapsed="false">
      <c r="A27" s="5" t="s">
        <v>119</v>
      </c>
      <c r="B27" s="13" t="s">
        <v>45</v>
      </c>
      <c r="C27" s="16" t="n">
        <v>0.625</v>
      </c>
      <c r="D27" s="16" t="n">
        <v>0.75</v>
      </c>
      <c r="E27" s="16" t="n">
        <v>0.875</v>
      </c>
      <c r="F27" s="16" t="n">
        <v>1</v>
      </c>
    </row>
    <row r="28" customFormat="false" ht="15" hidden="false" customHeight="false" outlineLevel="0" collapsed="false">
      <c r="A28" s="5" t="s">
        <v>120</v>
      </c>
      <c r="B28" s="13" t="s">
        <v>111</v>
      </c>
      <c r="C28" s="18" t="n">
        <f aca="false">VLOOKUP(C27,K2tbl,3,TRUE())</f>
        <v>-0.02</v>
      </c>
      <c r="D28" s="18" t="n">
        <f aca="false">VLOOKUP(D27,K2tbl,3,TRUE())</f>
        <v>-0.007</v>
      </c>
      <c r="E28" s="18" t="n">
        <f aca="false">VLOOKUP(E27,K2tbl,3,TRUE())</f>
        <v>0.004</v>
      </c>
      <c r="F28" s="18" t="n">
        <f aca="false">VLOOKUP(F27,K2tbl,3,TRUE())</f>
        <v>0.007</v>
      </c>
    </row>
    <row r="29" customFormat="false" ht="15" hidden="false" customHeight="false" outlineLevel="0" collapsed="false">
      <c r="A29" s="5" t="s">
        <v>121</v>
      </c>
      <c r="B29" s="13" t="s">
        <v>45</v>
      </c>
      <c r="C29" s="17" t="n">
        <f aca="false">c_speed/(2*C9)*(1+C28)</f>
        <v>15.092</v>
      </c>
      <c r="D29" s="17" t="n">
        <f aca="false">c_speed/(2*D9)*(1+D28)</f>
        <v>18.1855930440446</v>
      </c>
      <c r="E29" s="17" t="n">
        <f aca="false">c_speed/(2*E9)*(1+E28)</f>
        <v>20.6387598892354</v>
      </c>
      <c r="F29" s="17" t="n">
        <f aca="false">c_speed/(2*F9)*(1+F28)</f>
        <v>23.2354464867882</v>
      </c>
    </row>
    <row r="30" customFormat="false" ht="15" hidden="false" customHeight="false" outlineLevel="0" collapsed="false">
      <c r="A30" s="5" t="s">
        <v>122</v>
      </c>
      <c r="B30" s="13" t="s">
        <v>45</v>
      </c>
      <c r="C30" s="17" t="n">
        <f aca="false">end_k*C27/2</f>
        <v>0.1875</v>
      </c>
      <c r="D30" s="17" t="n">
        <f aca="false">end_k*D27/2</f>
        <v>0.225</v>
      </c>
      <c r="E30" s="17" t="n">
        <f aca="false">end_k*E27/2</f>
        <v>0.2625</v>
      </c>
      <c r="F30" s="17" t="n">
        <f aca="false">end_k*F27/2</f>
        <v>0.3</v>
      </c>
    </row>
    <row r="31" customFormat="false" ht="15" hidden="false" customHeight="false" outlineLevel="0" collapsed="false">
      <c r="A31" s="5" t="s">
        <v>123</v>
      </c>
      <c r="B31" s="13" t="s">
        <v>45</v>
      </c>
      <c r="C31" s="17" t="n">
        <f aca="false">C29-2*C30</f>
        <v>14.717</v>
      </c>
      <c r="D31" s="17" t="n">
        <f aca="false">D29-2*D30</f>
        <v>17.7355930440446</v>
      </c>
      <c r="E31" s="17" t="n">
        <f aca="false">E29-2*E30</f>
        <v>20.1137598892354</v>
      </c>
      <c r="F31" s="17" t="n">
        <f aca="false">F29-2*F30</f>
        <v>22.6354464867882</v>
      </c>
    </row>
    <row r="32" customFormat="false" ht="15" hidden="false" customHeight="false" outlineLevel="0" collapsed="false">
      <c r="A32" s="5" t="s">
        <v>124</v>
      </c>
      <c r="B32" s="13" t="s">
        <v>45</v>
      </c>
      <c r="C32" s="17" t="n">
        <f aca="false">Master_Inputs!$B$23 + Master_Inputs!$B$25</f>
        <v>4.25</v>
      </c>
      <c r="D32" s="17" t="n">
        <f aca="false">Master_Inputs!$B$23 + Master_Inputs!$B$25</f>
        <v>4.25</v>
      </c>
      <c r="E32" s="17" t="n">
        <f aca="false">Master_Inputs!$B$23 + Master_Inputs!$B$25</f>
        <v>4.25</v>
      </c>
      <c r="F32" s="17" t="n">
        <f aca="false">Master_Inputs!$B$23 + Master_Inputs!$B$25</f>
        <v>4.25</v>
      </c>
    </row>
    <row r="34" customFormat="false" ht="15" hidden="false" customHeight="false" outlineLevel="0" collapsed="false">
      <c r="A34" s="9" t="s">
        <v>125</v>
      </c>
      <c r="B34" s="9"/>
      <c r="C34" s="9"/>
      <c r="D34" s="9"/>
      <c r="E34" s="9"/>
      <c r="F34" s="9"/>
    </row>
    <row r="35" customFormat="false" ht="15" hidden="false" customHeight="false" outlineLevel="0" collapsed="false">
      <c r="A35" s="5" t="s">
        <v>126</v>
      </c>
      <c r="B35" s="13" t="s">
        <v>45</v>
      </c>
      <c r="C35" s="17" t="n">
        <f aca="false">SAC_len</f>
        <v>5.5</v>
      </c>
      <c r="D35" s="17" t="n">
        <f aca="false">SAC_len</f>
        <v>5.5</v>
      </c>
      <c r="E35" s="17" t="n">
        <f aca="false">SAC_len</f>
        <v>5.5</v>
      </c>
      <c r="F35" s="17" t="n">
        <f aca="false">SAC_len</f>
        <v>5.5</v>
      </c>
    </row>
    <row r="36" customFormat="false" ht="15" hidden="false" customHeight="false" outlineLevel="0" collapsed="false">
      <c r="A36" s="5" t="s">
        <v>127</v>
      </c>
      <c r="B36" s="13" t="s">
        <v>45</v>
      </c>
      <c r="C36" s="17" t="n">
        <f aca="false">C23+SAC_len+SAC_wall+bird_len-win_len</f>
        <v>21.9672</v>
      </c>
      <c r="D36" s="17" t="n">
        <f aca="false">D23+SAC_len+SAC_wall+bird_len-win_len</f>
        <v>24.9870447293261</v>
      </c>
      <c r="E36" s="17" t="n">
        <f aca="false">E23+SAC_len+SAC_wall+bird_len-win_len</f>
        <v>27.2254294904981</v>
      </c>
      <c r="F36" s="17" t="n">
        <f aca="false">F23+SAC_len+SAC_wall+bird_len-win_len</f>
        <v>29.8238900606916</v>
      </c>
    </row>
    <row r="37" customFormat="false" ht="15" hidden="false" customHeight="false" outlineLevel="0" collapsed="false">
      <c r="A37" s="5" t="s">
        <v>128</v>
      </c>
      <c r="B37" s="13" t="s">
        <v>45</v>
      </c>
      <c r="C37" s="17" t="n">
        <f aca="false">C36+Master_Inputs!$B$23</f>
        <v>25.4672</v>
      </c>
      <c r="D37" s="17" t="n">
        <f aca="false">D36+Master_Inputs!$B$23</f>
        <v>28.4870447293261</v>
      </c>
      <c r="E37" s="17" t="n">
        <f aca="false">E36+Master_Inputs!$B$23</f>
        <v>30.7254294904981</v>
      </c>
      <c r="F37" s="17" t="n">
        <f aca="false">F36+Master_Inputs!$B$23</f>
        <v>33.3238900606916</v>
      </c>
    </row>
    <row r="39" customFormat="false" ht="15" hidden="false" customHeight="false" outlineLevel="0" collapsed="false">
      <c r="A39" s="9" t="s">
        <v>129</v>
      </c>
      <c r="B39" s="9"/>
      <c r="C39" s="9"/>
      <c r="D39" s="9"/>
      <c r="E39" s="9"/>
      <c r="F39" s="9"/>
    </row>
    <row r="40" customFormat="false" ht="15" hidden="false" customHeight="false" outlineLevel="0" collapsed="false">
      <c r="A40" s="5" t="s">
        <v>130</v>
      </c>
      <c r="B40" s="13" t="s">
        <v>45</v>
      </c>
      <c r="C40" s="17" t="n">
        <f aca="false">C36+2</f>
        <v>23.9672</v>
      </c>
      <c r="D40" s="17" t="n">
        <f aca="false">D36+2</f>
        <v>26.9870447293261</v>
      </c>
      <c r="E40" s="17" t="n">
        <f aca="false">E36+2</f>
        <v>29.2254294904981</v>
      </c>
      <c r="F40" s="17" t="n">
        <f aca="false">F36+2</f>
        <v>31.8238900606916</v>
      </c>
    </row>
    <row r="41" customFormat="false" ht="15" hidden="false" customHeight="false" outlineLevel="0" collapsed="false">
      <c r="A41" s="5" t="s">
        <v>131</v>
      </c>
      <c r="B41" s="13" t="s">
        <v>45</v>
      </c>
      <c r="C41" s="17" t="n">
        <f aca="false">C14+0.25</f>
        <v>1.55</v>
      </c>
      <c r="D41" s="17" t="n">
        <f aca="false">D14+0.25</f>
        <v>1.675</v>
      </c>
      <c r="E41" s="17" t="n">
        <f aca="false">E14+0.25</f>
        <v>1.8</v>
      </c>
      <c r="F41" s="17" t="n">
        <f aca="false">F14+0.25</f>
        <v>1.925</v>
      </c>
    </row>
    <row r="42" customFormat="false" ht="15" hidden="false" customHeight="false" outlineLevel="0" collapsed="false">
      <c r="A42" s="5" t="s">
        <v>132</v>
      </c>
      <c r="B42" s="13" t="s">
        <v>45</v>
      </c>
      <c r="C42" s="17" t="n">
        <f aca="false">C41</f>
        <v>1.55</v>
      </c>
      <c r="D42" s="17" t="n">
        <f aca="false">D41</f>
        <v>1.675</v>
      </c>
      <c r="E42" s="17" t="n">
        <f aca="false">E41</f>
        <v>1.8</v>
      </c>
      <c r="F42" s="17" t="n">
        <f aca="false">F41</f>
        <v>1.925</v>
      </c>
    </row>
    <row r="43" customFormat="false" ht="15" hidden="false" customHeight="false" outlineLevel="0" collapsed="false">
      <c r="A43" s="5" t="s">
        <v>133</v>
      </c>
      <c r="B43" s="13" t="s">
        <v>45</v>
      </c>
      <c r="C43" s="17" t="n">
        <f aca="false">C41/2</f>
        <v>0.775</v>
      </c>
      <c r="D43" s="17" t="n">
        <f aca="false">D41/2</f>
        <v>0.8375</v>
      </c>
      <c r="E43" s="17" t="n">
        <f aca="false">E41/2</f>
        <v>0.9</v>
      </c>
      <c r="F43" s="17" t="n">
        <f aca="false">F41/2</f>
        <v>0.9625</v>
      </c>
    </row>
  </sheetData>
  <mergeCells count="9">
    <mergeCell ref="A1:F1"/>
    <mergeCell ref="A2:F2"/>
    <mergeCell ref="A3:F3"/>
    <mergeCell ref="A6:F6"/>
    <mergeCell ref="A11:F11"/>
    <mergeCell ref="A19:F19"/>
    <mergeCell ref="A26:F26"/>
    <mergeCell ref="A34:F34"/>
    <mergeCell ref="A39:F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14" min="2" style="0" width="12"/>
  </cols>
  <sheetData>
    <row r="1" customFormat="false" ht="17.35" hidden="false" customHeight="false" outlineLevel="0" collapsed="false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2" t="s">
        <v>136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customFormat="false" ht="15" hidden="false" customHeight="false" outlineLevel="0" collapsed="false">
      <c r="A5" s="3" t="s">
        <v>137</v>
      </c>
      <c r="B5" s="20" t="s">
        <v>96</v>
      </c>
      <c r="C5" s="20"/>
      <c r="D5" s="20"/>
      <c r="E5" s="20" t="s">
        <v>97</v>
      </c>
      <c r="F5" s="20"/>
      <c r="G5" s="20"/>
      <c r="H5" s="20" t="s">
        <v>98</v>
      </c>
      <c r="I5" s="20"/>
      <c r="J5" s="20"/>
      <c r="K5" s="20" t="s">
        <v>99</v>
      </c>
      <c r="L5" s="20"/>
      <c r="M5" s="20"/>
    </row>
    <row r="6" customFormat="false" ht="15" hidden="false" customHeight="false" outlineLevel="0" collapsed="false">
      <c r="A6" s="11" t="s">
        <v>138</v>
      </c>
      <c r="B6" s="3" t="s">
        <v>139</v>
      </c>
      <c r="C6" s="3" t="s">
        <v>38</v>
      </c>
      <c r="D6" s="3" t="s">
        <v>140</v>
      </c>
      <c r="E6" s="3" t="s">
        <v>139</v>
      </c>
      <c r="F6" s="3" t="s">
        <v>38</v>
      </c>
      <c r="G6" s="3" t="s">
        <v>140</v>
      </c>
      <c r="H6" s="3" t="s">
        <v>139</v>
      </c>
      <c r="I6" s="3" t="s">
        <v>38</v>
      </c>
      <c r="J6" s="3" t="s">
        <v>140</v>
      </c>
      <c r="K6" s="3" t="s">
        <v>139</v>
      </c>
      <c r="L6" s="3" t="s">
        <v>38</v>
      </c>
      <c r="M6" s="3" t="s">
        <v>140</v>
      </c>
    </row>
    <row r="7" customFormat="false" ht="15" hidden="false" customHeight="false" outlineLevel="0" collapsed="false">
      <c r="A7" s="5" t="s">
        <v>141</v>
      </c>
      <c r="B7" s="14" t="n">
        <v>3</v>
      </c>
      <c r="C7" s="15" t="n">
        <f aca="false">Design_Table!$C$8*POWER(2,B7/12)</f>
        <v>523.251130601197</v>
      </c>
      <c r="D7" s="17" t="n">
        <f aca="false">Design_Table!$C$21*(1-Design_Table!$C$8/C7)</f>
        <v>2.43304383865715</v>
      </c>
      <c r="E7" s="14" t="n">
        <v>3</v>
      </c>
      <c r="F7" s="15" t="n">
        <f aca="false">Design_Table!$D$8*POWER(2,E7/12)</f>
        <v>440</v>
      </c>
      <c r="G7" s="17" t="n">
        <f aca="false">Design_Table!$D$21*(1-Design_Table!$D$8/F7)</f>
        <v>2.92544472932607</v>
      </c>
      <c r="H7" s="14" t="n">
        <v>3</v>
      </c>
      <c r="I7" s="15" t="n">
        <f aca="false">Design_Table!$E$8*POWER(2,H7/12)</f>
        <v>391.995435981749</v>
      </c>
      <c r="J7" s="17" t="n">
        <f aca="false">Design_Table!$E$21*(1-Design_Table!$E$8/I7)</f>
        <v>3.29351253772596</v>
      </c>
      <c r="K7" s="14" t="n">
        <v>3</v>
      </c>
      <c r="L7" s="15" t="n">
        <f aca="false">Design_Table!$F$8*POWER(2,K7/12)</f>
        <v>349.228231433004</v>
      </c>
      <c r="M7" s="17" t="n">
        <f aca="false">Design_Table!$F$21*(1-Design_Table!$F$8/L7)</f>
        <v>3.7188696981216</v>
      </c>
    </row>
    <row r="8" customFormat="false" ht="15" hidden="false" customHeight="false" outlineLevel="0" collapsed="false">
      <c r="A8" s="5" t="s">
        <v>142</v>
      </c>
      <c r="B8" s="14" t="n">
        <v>5</v>
      </c>
      <c r="C8" s="15" t="n">
        <f aca="false">Design_Table!$C$8*POWER(2,B8/12)</f>
        <v>587.329535834815</v>
      </c>
      <c r="D8" s="17" t="n">
        <f aca="false">Design_Table!$C$21*(1-Design_Table!$C$8/C8)</f>
        <v>3.83599425949321</v>
      </c>
      <c r="E8" s="14" t="n">
        <v>5</v>
      </c>
      <c r="F8" s="15" t="n">
        <f aca="false">Design_Table!$D$8*POWER(2,E8/12)</f>
        <v>493.883301256124</v>
      </c>
      <c r="G8" s="17" t="n">
        <f aca="false">Design_Table!$D$21*(1-Design_Table!$D$8/F8)</f>
        <v>4.6123251089274</v>
      </c>
      <c r="H8" s="14" t="n">
        <v>5</v>
      </c>
      <c r="I8" s="15" t="n">
        <f aca="false">Design_Table!$E$8*POWER(2,H8/12)</f>
        <v>440</v>
      </c>
      <c r="J8" s="17" t="n">
        <f aca="false">Design_Table!$E$21*(1-Design_Table!$E$8/I8)</f>
        <v>5.19262949049806</v>
      </c>
      <c r="K8" s="14" t="n">
        <v>5</v>
      </c>
      <c r="L8" s="15" t="n">
        <f aca="false">Design_Table!$F$8*POWER(2,K8/12)</f>
        <v>391.995435981749</v>
      </c>
      <c r="M8" s="17" t="n">
        <f aca="false">Design_Table!$F$21*(1-Design_Table!$F$8/L8)</f>
        <v>5.86325761465573</v>
      </c>
    </row>
    <row r="9" customFormat="false" ht="15" hidden="false" customHeight="false" outlineLevel="0" collapsed="false">
      <c r="A9" s="5" t="s">
        <v>143</v>
      </c>
      <c r="B9" s="14" t="n">
        <v>7</v>
      </c>
      <c r="C9" s="15" t="n">
        <f aca="false">Design_Table!$C$8*POWER(2,B9/12)</f>
        <v>659.25511382574</v>
      </c>
      <c r="D9" s="17" t="n">
        <f aca="false">Design_Table!$C$21*(1-Design_Table!$C$8/C9)</f>
        <v>5.0858809910305</v>
      </c>
      <c r="E9" s="14" t="n">
        <v>7</v>
      </c>
      <c r="F9" s="15" t="n">
        <f aca="false">Design_Table!$D$8*POWER(2,E9/12)</f>
        <v>554.365261953744</v>
      </c>
      <c r="G9" s="17" t="n">
        <f aca="false">Design_Table!$D$21*(1-Design_Table!$D$8/F9)</f>
        <v>6.11516467677032</v>
      </c>
      <c r="H9" s="14" t="n">
        <v>7</v>
      </c>
      <c r="I9" s="15" t="n">
        <f aca="false">Design_Table!$E$8*POWER(2,H9/12)</f>
        <v>493.883301256124</v>
      </c>
      <c r="J9" s="17" t="n">
        <f aca="false">Design_Table!$E$21*(1-Design_Table!$E$8/I9)</f>
        <v>6.88455034932131</v>
      </c>
      <c r="K9" s="14" t="n">
        <v>7</v>
      </c>
      <c r="L9" s="15" t="n">
        <f aca="false">Design_Table!$F$8*POWER(2,K9/12)</f>
        <v>440</v>
      </c>
      <c r="M9" s="17" t="n">
        <f aca="false">Design_Table!$F$21*(1-Design_Table!$F$8/L9)</f>
        <v>7.77369006069161</v>
      </c>
    </row>
    <row r="10" customFormat="false" ht="15" hidden="false" customHeight="false" outlineLevel="0" collapsed="false">
      <c r="A10" s="5" t="s">
        <v>144</v>
      </c>
      <c r="B10" s="14" t="n">
        <v>8</v>
      </c>
      <c r="C10" s="15" t="n">
        <f aca="false">Design_Table!$C$8*POWER(2,B10/12)</f>
        <v>698.456462866008</v>
      </c>
      <c r="D10" s="17" t="n">
        <f aca="false">Design_Table!$C$21*(1-Design_Table!$C$8/C10)</f>
        <v>5.65871766039881</v>
      </c>
      <c r="E10" s="14" t="n">
        <v>8</v>
      </c>
      <c r="F10" s="15" t="n">
        <f aca="false">Design_Table!$D$8*POWER(2,E10/12)</f>
        <v>587.329535834815</v>
      </c>
      <c r="G10" s="17" t="n">
        <f aca="false">Design_Table!$D$21*(1-Design_Table!$D$8/F10)</f>
        <v>6.80393237940782</v>
      </c>
      <c r="H10" s="14" t="n">
        <v>8</v>
      </c>
      <c r="I10" s="15" t="n">
        <f aca="false">Design_Table!$E$8*POWER(2,H10/12)</f>
        <v>523.251130601197</v>
      </c>
      <c r="J10" s="17" t="n">
        <f aca="false">Design_Table!$E$21*(1-Design_Table!$E$8/I10)</f>
        <v>7.6599760620265</v>
      </c>
      <c r="K10" s="14" t="n">
        <v>8</v>
      </c>
      <c r="L10" s="15" t="n">
        <f aca="false">Design_Table!$F$8*POWER(2,K10/12)</f>
        <v>466.16376151809</v>
      </c>
      <c r="M10" s="17" t="n">
        <f aca="false">Design_Table!$F$21*(1-Design_Table!$F$8/L10)</f>
        <v>8.64926200799465</v>
      </c>
    </row>
    <row r="11" customFormat="false" ht="15" hidden="false" customHeight="false" outlineLevel="0" collapsed="false">
      <c r="A11" s="5" t="s">
        <v>145</v>
      </c>
      <c r="B11" s="14" t="n">
        <v>10</v>
      </c>
      <c r="C11" s="15" t="n">
        <f aca="false">Design_Table!$C$8*POWER(2,B11/12)</f>
        <v>783.990871963499</v>
      </c>
      <c r="D11" s="17" t="n">
        <f aca="false">Design_Table!$C$21*(1-Design_Table!$C$8/C11)</f>
        <v>6.7097429324217</v>
      </c>
      <c r="E11" s="14" t="n">
        <v>10</v>
      </c>
      <c r="F11" s="15" t="n">
        <f aca="false">Design_Table!$D$8*POWER(2,E11/12)</f>
        <v>659.25511382574</v>
      </c>
      <c r="G11" s="17" t="n">
        <f aca="false">Design_Table!$D$21*(1-Design_Table!$D$8/F11)</f>
        <v>8.06766478470837</v>
      </c>
      <c r="H11" s="14" t="n">
        <v>10</v>
      </c>
      <c r="I11" s="15" t="n">
        <f aca="false">Design_Table!$E$8*POWER(2,H11/12)</f>
        <v>587.329535834815</v>
      </c>
      <c r="J11" s="17" t="n">
        <f aca="false">Design_Table!$E$21*(1-Design_Table!$E$8/I11)</f>
        <v>9.08270624710396</v>
      </c>
      <c r="K11" s="14" t="n">
        <v>10</v>
      </c>
      <c r="L11" s="15" t="n">
        <f aca="false">Design_Table!$F$8*POWER(2,K11/12)</f>
        <v>523.251130601197</v>
      </c>
      <c r="M11" s="17" t="n">
        <f aca="false">Design_Table!$F$21*(1-Design_Table!$F$8/L11)</f>
        <v>10.2557378034506</v>
      </c>
    </row>
    <row r="12" customFormat="false" ht="15" hidden="false" customHeight="false" outlineLevel="0" collapsed="false">
      <c r="A12" s="5" t="s">
        <v>146</v>
      </c>
      <c r="B12" s="14" t="n">
        <v>12</v>
      </c>
      <c r="C12" s="15" t="n">
        <f aca="false">Design_Table!$C$8*POWER(2,B12/12)</f>
        <v>880</v>
      </c>
      <c r="D12" s="17" t="n">
        <f aca="false">Design_Table!$C$21*(1-Design_Table!$C$8/C12)</f>
        <v>7.6461</v>
      </c>
      <c r="E12" s="14" t="n">
        <v>12</v>
      </c>
      <c r="F12" s="15" t="n">
        <f aca="false">Design_Table!$D$8*POWER(2,E12/12)</f>
        <v>739.988845423269</v>
      </c>
      <c r="G12" s="17" t="n">
        <f aca="false">Design_Table!$D$21*(1-Design_Table!$D$8/F12)</f>
        <v>9.19352236466304</v>
      </c>
      <c r="H12" s="14" t="n">
        <v>12</v>
      </c>
      <c r="I12" s="15" t="n">
        <f aca="false">Design_Table!$E$8*POWER(2,H12/12)</f>
        <v>659.25511382574</v>
      </c>
      <c r="J12" s="17" t="n">
        <f aca="false">Design_Table!$E$21*(1-Design_Table!$E$8/I12)</f>
        <v>10.350214745249</v>
      </c>
      <c r="K12" s="14" t="n">
        <v>12</v>
      </c>
      <c r="L12" s="15" t="n">
        <f aca="false">Design_Table!$F$8*POWER(2,K12/12)</f>
        <v>587.329535834815</v>
      </c>
      <c r="M12" s="17" t="n">
        <f aca="false">Design_Table!$F$21*(1-Design_Table!$F$8/L12)</f>
        <v>11.6869450303458</v>
      </c>
    </row>
    <row r="14" customFormat="false" ht="15" hidden="false" customHeight="false" outlineLevel="0" collapsed="false">
      <c r="A14" s="9" t="s">
        <v>147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customFormat="false" ht="15" hidden="false" customHeight="false" outlineLevel="0" collapsed="false">
      <c r="A15" s="3" t="s">
        <v>137</v>
      </c>
      <c r="B15" s="20" t="s">
        <v>148</v>
      </c>
      <c r="C15" s="20"/>
      <c r="D15" s="20"/>
      <c r="E15" s="20" t="s">
        <v>149</v>
      </c>
      <c r="F15" s="20"/>
      <c r="G15" s="20"/>
      <c r="H15" s="20" t="s">
        <v>150</v>
      </c>
      <c r="I15" s="20"/>
      <c r="J15" s="20"/>
      <c r="K15" s="20" t="s">
        <v>151</v>
      </c>
      <c r="L15" s="20"/>
      <c r="M15" s="20"/>
    </row>
    <row r="16" customFormat="false" ht="15" hidden="false" customHeight="false" outlineLevel="0" collapsed="false">
      <c r="A16" s="5" t="s">
        <v>141</v>
      </c>
      <c r="B16" s="16" t="n">
        <v>0.25</v>
      </c>
      <c r="C16" s="21" t="n">
        <f aca="false">ROUND(B16*25.4,1)</f>
        <v>6.4</v>
      </c>
      <c r="D16" s="4" t="str">
        <f aca="false">IF(B16&lt;=0,"-","ok")</f>
        <v>ok</v>
      </c>
      <c r="E16" s="16" t="n">
        <v>0.281</v>
      </c>
      <c r="F16" s="21" t="n">
        <f aca="false">ROUND(E16*25.4,1)</f>
        <v>7.1</v>
      </c>
      <c r="G16" s="4" t="str">
        <f aca="false">IF(E16&lt;=0,"-","ok")</f>
        <v>ok</v>
      </c>
      <c r="H16" s="16" t="n">
        <v>0.312</v>
      </c>
      <c r="I16" s="21" t="n">
        <f aca="false">ROUND(H16*25.4,1)</f>
        <v>7.9</v>
      </c>
      <c r="J16" s="4" t="str">
        <f aca="false">IF(H16&lt;=0,"-","ok")</f>
        <v>ok</v>
      </c>
      <c r="K16" s="16" t="n">
        <v>0.344</v>
      </c>
      <c r="L16" s="21" t="n">
        <f aca="false">ROUND(K16*25.4,1)</f>
        <v>8.7</v>
      </c>
      <c r="M16" s="4" t="str">
        <f aca="false">IF(K16&lt;=0,"-","ok")</f>
        <v>ok</v>
      </c>
    </row>
    <row r="17" customFormat="false" ht="15" hidden="false" customHeight="false" outlineLevel="0" collapsed="false">
      <c r="A17" s="5" t="s">
        <v>142</v>
      </c>
      <c r="B17" s="16" t="n">
        <v>0.281</v>
      </c>
      <c r="C17" s="21" t="n">
        <f aca="false">ROUND(B17*25.4,1)</f>
        <v>7.1</v>
      </c>
      <c r="D17" s="4" t="str">
        <f aca="false">IF(B17&lt;=0,"-","ok")</f>
        <v>ok</v>
      </c>
      <c r="E17" s="16" t="n">
        <v>0.312</v>
      </c>
      <c r="F17" s="21" t="n">
        <f aca="false">ROUND(E17*25.4,1)</f>
        <v>7.9</v>
      </c>
      <c r="G17" s="4" t="str">
        <f aca="false">IF(E17&lt;=0,"-","ok")</f>
        <v>ok</v>
      </c>
      <c r="H17" s="16" t="n">
        <v>0.344</v>
      </c>
      <c r="I17" s="21" t="n">
        <f aca="false">ROUND(H17*25.4,1)</f>
        <v>8.7</v>
      </c>
      <c r="J17" s="4" t="str">
        <f aca="false">IF(H17&lt;=0,"-","ok")</f>
        <v>ok</v>
      </c>
      <c r="K17" s="16" t="n">
        <v>0.375</v>
      </c>
      <c r="L17" s="21" t="n">
        <f aca="false">ROUND(K17*25.4,1)</f>
        <v>9.5</v>
      </c>
      <c r="M17" s="4" t="str">
        <f aca="false">IF(K17&lt;=0,"-","ok")</f>
        <v>ok</v>
      </c>
    </row>
    <row r="18" customFormat="false" ht="15" hidden="false" customHeight="false" outlineLevel="0" collapsed="false">
      <c r="A18" s="5" t="s">
        <v>143</v>
      </c>
      <c r="B18" s="16" t="n">
        <v>0.281</v>
      </c>
      <c r="C18" s="21" t="n">
        <f aca="false">ROUND(B18*25.4,1)</f>
        <v>7.1</v>
      </c>
      <c r="D18" s="4" t="str">
        <f aca="false">IF(B18&lt;=0,"-","ok")</f>
        <v>ok</v>
      </c>
      <c r="E18" s="16" t="n">
        <v>0.312</v>
      </c>
      <c r="F18" s="21" t="n">
        <f aca="false">ROUND(E18*25.4,1)</f>
        <v>7.9</v>
      </c>
      <c r="G18" s="4" t="str">
        <f aca="false">IF(E18&lt;=0,"-","ok")</f>
        <v>ok</v>
      </c>
      <c r="H18" s="16" t="n">
        <v>0.344</v>
      </c>
      <c r="I18" s="21" t="n">
        <f aca="false">ROUND(H18*25.4,1)</f>
        <v>8.7</v>
      </c>
      <c r="J18" s="4" t="str">
        <f aca="false">IF(H18&lt;=0,"-","ok")</f>
        <v>ok</v>
      </c>
      <c r="K18" s="16" t="n">
        <v>0.375</v>
      </c>
      <c r="L18" s="21" t="n">
        <f aca="false">ROUND(K18*25.4,1)</f>
        <v>9.5</v>
      </c>
      <c r="M18" s="4" t="str">
        <f aca="false">IF(K18&lt;=0,"-","ok")</f>
        <v>ok</v>
      </c>
    </row>
    <row r="19" customFormat="false" ht="15" hidden="false" customHeight="false" outlineLevel="0" collapsed="false">
      <c r="A19" s="5" t="s">
        <v>144</v>
      </c>
      <c r="B19" s="16" t="n">
        <v>0.281</v>
      </c>
      <c r="C19" s="21" t="n">
        <f aca="false">ROUND(B19*25.4,1)</f>
        <v>7.1</v>
      </c>
      <c r="D19" s="4" t="str">
        <f aca="false">IF(B19&lt;=0,"-","ok")</f>
        <v>ok</v>
      </c>
      <c r="E19" s="16" t="n">
        <v>0.312</v>
      </c>
      <c r="F19" s="21" t="n">
        <f aca="false">ROUND(E19*25.4,1)</f>
        <v>7.9</v>
      </c>
      <c r="G19" s="4" t="str">
        <f aca="false">IF(E19&lt;=0,"-","ok")</f>
        <v>ok</v>
      </c>
      <c r="H19" s="16" t="n">
        <v>0.344</v>
      </c>
      <c r="I19" s="21" t="n">
        <f aca="false">ROUND(H19*25.4,1)</f>
        <v>8.7</v>
      </c>
      <c r="J19" s="4" t="str">
        <f aca="false">IF(H19&lt;=0,"-","ok")</f>
        <v>ok</v>
      </c>
      <c r="K19" s="16" t="n">
        <v>0.375</v>
      </c>
      <c r="L19" s="21" t="n">
        <f aca="false">ROUND(K19*25.4,1)</f>
        <v>9.5</v>
      </c>
      <c r="M19" s="4" t="str">
        <f aca="false">IF(K19&lt;=0,"-","ok")</f>
        <v>ok</v>
      </c>
    </row>
    <row r="20" customFormat="false" ht="15" hidden="false" customHeight="false" outlineLevel="0" collapsed="false">
      <c r="A20" s="5" t="s">
        <v>145</v>
      </c>
      <c r="B20" s="16" t="n">
        <v>0.281</v>
      </c>
      <c r="C20" s="21" t="n">
        <f aca="false">ROUND(B20*25.4,1)</f>
        <v>7.1</v>
      </c>
      <c r="D20" s="4" t="str">
        <f aca="false">IF(B20&lt;=0,"-","ok")</f>
        <v>ok</v>
      </c>
      <c r="E20" s="16" t="n">
        <v>0.312</v>
      </c>
      <c r="F20" s="21" t="n">
        <f aca="false">ROUND(E20*25.4,1)</f>
        <v>7.9</v>
      </c>
      <c r="G20" s="4" t="str">
        <f aca="false">IF(E20&lt;=0,"-","ok")</f>
        <v>ok</v>
      </c>
      <c r="H20" s="16" t="n">
        <v>0.344</v>
      </c>
      <c r="I20" s="21" t="n">
        <f aca="false">ROUND(H20*25.4,1)</f>
        <v>8.7</v>
      </c>
      <c r="J20" s="4" t="str">
        <f aca="false">IF(H20&lt;=0,"-","ok")</f>
        <v>ok</v>
      </c>
      <c r="K20" s="16" t="n">
        <v>0.375</v>
      </c>
      <c r="L20" s="21" t="n">
        <f aca="false">ROUND(K20*25.4,1)</f>
        <v>9.5</v>
      </c>
      <c r="M20" s="4" t="str">
        <f aca="false">IF(K20&lt;=0,"-","ok")</f>
        <v>ok</v>
      </c>
    </row>
    <row r="21" customFormat="false" ht="15" hidden="false" customHeight="false" outlineLevel="0" collapsed="false">
      <c r="A21" s="5" t="s">
        <v>146</v>
      </c>
      <c r="B21" s="16" t="n">
        <v>0.281</v>
      </c>
      <c r="C21" s="21" t="n">
        <f aca="false">ROUND(B21*25.4,1)</f>
        <v>7.1</v>
      </c>
      <c r="D21" s="4" t="str">
        <f aca="false">IF(B21&lt;=0,"-","ok")</f>
        <v>ok</v>
      </c>
      <c r="E21" s="16" t="n">
        <v>0.312</v>
      </c>
      <c r="F21" s="21" t="n">
        <f aca="false">ROUND(E21*25.4,1)</f>
        <v>7.9</v>
      </c>
      <c r="G21" s="4" t="str">
        <f aca="false">IF(E21&lt;=0,"-","ok")</f>
        <v>ok</v>
      </c>
      <c r="H21" s="16" t="n">
        <v>0.344</v>
      </c>
      <c r="I21" s="21" t="n">
        <f aca="false">ROUND(H21*25.4,1)</f>
        <v>8.7</v>
      </c>
      <c r="J21" s="4" t="str">
        <f aca="false">IF(H21&lt;=0,"-","ok")</f>
        <v>ok</v>
      </c>
      <c r="K21" s="16" t="n">
        <v>0.375</v>
      </c>
      <c r="L21" s="21" t="n">
        <f aca="false">ROUND(K21*25.4,1)</f>
        <v>9.5</v>
      </c>
      <c r="M21" s="4" t="str">
        <f aca="false">IF(K21&lt;=0,"-","ok")</f>
        <v>ok</v>
      </c>
    </row>
    <row r="23" customFormat="false" ht="15" hidden="false" customHeight="false" outlineLevel="0" collapsed="false">
      <c r="A23" s="9" t="s">
        <v>152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customFormat="false" ht="15" hidden="false" customHeight="false" outlineLevel="0" collapsed="false">
      <c r="A24" s="3" t="s">
        <v>153</v>
      </c>
      <c r="B24" s="20" t="s">
        <v>154</v>
      </c>
      <c r="C24" s="20"/>
      <c r="D24" s="20"/>
      <c r="E24" s="20" t="s">
        <v>155</v>
      </c>
      <c r="F24" s="20"/>
      <c r="G24" s="20"/>
      <c r="H24" s="20" t="s">
        <v>156</v>
      </c>
      <c r="I24" s="20"/>
      <c r="J24" s="20"/>
      <c r="K24" s="20" t="s">
        <v>157</v>
      </c>
      <c r="L24" s="20"/>
      <c r="M24" s="20"/>
    </row>
    <row r="25" customFormat="false" ht="15" hidden="false" customHeight="false" outlineLevel="0" collapsed="false">
      <c r="A25" s="5" t="s">
        <v>158</v>
      </c>
      <c r="B25" s="17" t="n">
        <f aca="false">D8-D7</f>
        <v>1.40295042083606</v>
      </c>
      <c r="C25" s="4" t="str">
        <f aca="false">IF(B25&gt;=0.4,"ok","tight")</f>
        <v>ok</v>
      </c>
      <c r="E25" s="17" t="n">
        <f aca="false">G8-G7</f>
        <v>1.68688037960133</v>
      </c>
      <c r="F25" s="4" t="str">
        <f aca="false">IF(E25&gt;=0.4,"ok","tight")</f>
        <v>ok</v>
      </c>
      <c r="H25" s="17" t="n">
        <f aca="false">J8-J7</f>
        <v>1.8991169527721</v>
      </c>
      <c r="I25" s="4" t="str">
        <f aca="false">IF(H25&gt;=0.4,"ok","tight")</f>
        <v>ok</v>
      </c>
      <c r="K25" s="17" t="n">
        <f aca="false">M8-M7</f>
        <v>2.14438791653412</v>
      </c>
      <c r="L25" s="4" t="str">
        <f aca="false">IF(K25&gt;=0.4,"ok","tight")</f>
        <v>ok</v>
      </c>
    </row>
    <row r="26" customFormat="false" ht="15" hidden="false" customHeight="false" outlineLevel="0" collapsed="false">
      <c r="A26" s="5" t="s">
        <v>159</v>
      </c>
      <c r="B26" s="17" t="n">
        <f aca="false">D9-D8</f>
        <v>1.2498867315373</v>
      </c>
      <c r="C26" s="4" t="str">
        <f aca="false">IF(B26&gt;=0.4,"ok","tight")</f>
        <v>ok</v>
      </c>
      <c r="E26" s="17" t="n">
        <f aca="false">G9-G8</f>
        <v>1.50283956784291</v>
      </c>
      <c r="F26" s="4" t="str">
        <f aca="false">IF(E26&gt;=0.4,"ok","tight")</f>
        <v>ok</v>
      </c>
      <c r="H26" s="17" t="n">
        <f aca="false">J9-J8</f>
        <v>1.69192085882325</v>
      </c>
      <c r="I26" s="4" t="str">
        <f aca="false">IF(H26&gt;=0.4,"ok","tight")</f>
        <v>ok</v>
      </c>
      <c r="K26" s="17" t="n">
        <f aca="false">M9-M8</f>
        <v>1.91043244603588</v>
      </c>
      <c r="L26" s="4" t="str">
        <f aca="false">IF(K26&gt;=0.4,"ok","tight")</f>
        <v>ok</v>
      </c>
    </row>
    <row r="27" customFormat="false" ht="15" hidden="false" customHeight="false" outlineLevel="0" collapsed="false">
      <c r="A27" s="5" t="s">
        <v>160</v>
      </c>
      <c r="B27" s="17" t="n">
        <f aca="false">D10-D9</f>
        <v>0.57283666936831</v>
      </c>
      <c r="C27" s="4" t="str">
        <f aca="false">IF(B27&gt;=0.4,"ok","tight")</f>
        <v>ok</v>
      </c>
      <c r="E27" s="17" t="n">
        <f aca="false">G10-G9</f>
        <v>0.688767702637505</v>
      </c>
      <c r="F27" s="4" t="str">
        <f aca="false">IF(E27&gt;=0.4,"ok","tight")</f>
        <v>ok</v>
      </c>
      <c r="H27" s="17" t="n">
        <f aca="false">J10-J9</f>
        <v>0.775425712705199</v>
      </c>
      <c r="I27" s="4" t="str">
        <f aca="false">IF(H27&gt;=0.4,"ok","tight")</f>
        <v>ok</v>
      </c>
      <c r="K27" s="17" t="n">
        <f aca="false">M10-M9</f>
        <v>0.875571947303045</v>
      </c>
      <c r="L27" s="4" t="str">
        <f aca="false">IF(K27&gt;=0.4,"ok","tight")</f>
        <v>ok</v>
      </c>
    </row>
    <row r="28" customFormat="false" ht="15" hidden="false" customHeight="false" outlineLevel="0" collapsed="false">
      <c r="A28" s="5" t="s">
        <v>161</v>
      </c>
      <c r="B28" s="17" t="n">
        <f aca="false">D11-D10</f>
        <v>1.05102527202289</v>
      </c>
      <c r="C28" s="4" t="str">
        <f aca="false">IF(B28&gt;=0.4,"ok","tight")</f>
        <v>ok</v>
      </c>
      <c r="E28" s="17" t="n">
        <f aca="false">G11-G10</f>
        <v>1.26373240530055</v>
      </c>
      <c r="F28" s="4" t="str">
        <f aca="false">IF(E28&gt;=0.4,"ok","tight")</f>
        <v>ok</v>
      </c>
      <c r="H28" s="17" t="n">
        <f aca="false">J11-J10</f>
        <v>1.42273018507745</v>
      </c>
      <c r="I28" s="4" t="str">
        <f aca="false">IF(H28&gt;=0.4,"ok","tight")</f>
        <v>ok</v>
      </c>
      <c r="K28" s="17" t="n">
        <f aca="false">M11-M10</f>
        <v>1.60647579545596</v>
      </c>
      <c r="L28" s="4" t="str">
        <f aca="false">IF(K28&gt;=0.4,"ok","tight")</f>
        <v>ok</v>
      </c>
    </row>
    <row r="29" customFormat="false" ht="15" hidden="false" customHeight="false" outlineLevel="0" collapsed="false">
      <c r="A29" s="5" t="s">
        <v>162</v>
      </c>
      <c r="B29" s="17" t="n">
        <f aca="false">D12-D11</f>
        <v>0.936357067578297</v>
      </c>
      <c r="C29" s="4" t="str">
        <f aca="false">IF(B29&gt;=0.4,"ok","tight")</f>
        <v>ok</v>
      </c>
      <c r="E29" s="17" t="n">
        <f aca="false">G12-G11</f>
        <v>1.12585757995467</v>
      </c>
      <c r="F29" s="4" t="str">
        <f aca="false">IF(E29&gt;=0.4,"ok","tight")</f>
        <v>ok</v>
      </c>
      <c r="H29" s="17" t="n">
        <f aca="false">J12-J11</f>
        <v>1.26750849814507</v>
      </c>
      <c r="I29" s="4" t="str">
        <f aca="false">IF(H29&gt;=0.4,"ok","tight")</f>
        <v>ok</v>
      </c>
      <c r="K29" s="17" t="n">
        <f aca="false">M12-M11</f>
        <v>1.43120722689519</v>
      </c>
      <c r="L29" s="4" t="str">
        <f aca="false">IF(K29&gt;=0.4,"ok","tight")</f>
        <v>ok</v>
      </c>
    </row>
    <row r="32" customFormat="false" ht="15" hidden="false" customHeight="false" outlineLevel="0" collapsed="false">
      <c r="A32" s="9" t="s">
        <v>163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customFormat="false" ht="15" hidden="false" customHeight="false" outlineLevel="0" collapsed="false">
      <c r="A33" s="3" t="s">
        <v>137</v>
      </c>
      <c r="B33" s="20" t="s">
        <v>164</v>
      </c>
      <c r="C33" s="20"/>
      <c r="D33" s="20"/>
      <c r="E33" s="20" t="s">
        <v>165</v>
      </c>
      <c r="F33" s="20"/>
      <c r="G33" s="20"/>
      <c r="H33" s="20" t="s">
        <v>166</v>
      </c>
      <c r="I33" s="20"/>
      <c r="J33" s="20"/>
      <c r="K33" s="20" t="s">
        <v>167</v>
      </c>
      <c r="L33" s="20"/>
      <c r="M33" s="20"/>
    </row>
    <row r="34" customFormat="false" ht="15" hidden="false" customHeight="false" outlineLevel="0" collapsed="false">
      <c r="A34" s="5" t="s">
        <v>141</v>
      </c>
      <c r="B34" s="17" t="n">
        <f aca="false">Design_Table!$C$21-D7</f>
        <v>12.8591561613429</v>
      </c>
      <c r="E34" s="17" t="n">
        <f aca="false">Design_Table!$D$21-G7</f>
        <v>15.4616</v>
      </c>
      <c r="H34" s="17" t="n">
        <f aca="false">Design_Table!$E$21-J7</f>
        <v>17.4069169527721</v>
      </c>
      <c r="K34" s="17" t="n">
        <f aca="false">Design_Table!$F$21-M7</f>
        <v>19.65502036257</v>
      </c>
    </row>
    <row r="35" customFormat="false" ht="15" hidden="false" customHeight="false" outlineLevel="0" collapsed="false">
      <c r="A35" s="5" t="s">
        <v>142</v>
      </c>
      <c r="B35" s="17" t="n">
        <f aca="false">Design_Table!$C$21-D8</f>
        <v>11.4562057405068</v>
      </c>
      <c r="E35" s="17" t="n">
        <f aca="false">Design_Table!$D$21-G8</f>
        <v>13.7747196203987</v>
      </c>
      <c r="H35" s="17" t="n">
        <f aca="false">Design_Table!$E$21-J8</f>
        <v>15.5078</v>
      </c>
      <c r="K35" s="17" t="n">
        <f aca="false">Design_Table!$F$21-M8</f>
        <v>17.5106324460359</v>
      </c>
    </row>
    <row r="36" customFormat="false" ht="15" hidden="false" customHeight="false" outlineLevel="0" collapsed="false">
      <c r="A36" s="5" t="s">
        <v>143</v>
      </c>
      <c r="B36" s="17" t="n">
        <f aca="false">Design_Table!$C$21-D9</f>
        <v>10.2063190089695</v>
      </c>
      <c r="E36" s="17" t="n">
        <f aca="false">Design_Table!$D$21-G9</f>
        <v>12.2718800525558</v>
      </c>
      <c r="H36" s="17" t="n">
        <f aca="false">Design_Table!$E$21-J9</f>
        <v>13.8158791411768</v>
      </c>
      <c r="K36" s="17" t="n">
        <f aca="false">Design_Table!$F$21-M9</f>
        <v>15.6002</v>
      </c>
    </row>
    <row r="37" customFormat="false" ht="15" hidden="false" customHeight="false" outlineLevel="0" collapsed="false">
      <c r="A37" s="5" t="s">
        <v>144</v>
      </c>
      <c r="B37" s="17" t="n">
        <f aca="false">Design_Table!$C$21-D10</f>
        <v>9.63348233960119</v>
      </c>
      <c r="E37" s="17" t="n">
        <f aca="false">Design_Table!$D$21-G10</f>
        <v>11.5831123499183</v>
      </c>
      <c r="H37" s="17" t="n">
        <f aca="false">Design_Table!$E$21-J10</f>
        <v>13.0404534284716</v>
      </c>
      <c r="K37" s="17" t="n">
        <f aca="false">Design_Table!$F$21-M10</f>
        <v>14.724628052697</v>
      </c>
    </row>
    <row r="38" customFormat="false" ht="15" hidden="false" customHeight="false" outlineLevel="0" collapsed="false">
      <c r="A38" s="5" t="s">
        <v>145</v>
      </c>
      <c r="B38" s="17" t="n">
        <f aca="false">Design_Table!$C$21-D11</f>
        <v>8.5824570675783</v>
      </c>
      <c r="E38" s="17" t="n">
        <f aca="false">Design_Table!$D$21-G11</f>
        <v>10.3193799446177</v>
      </c>
      <c r="H38" s="17" t="n">
        <f aca="false">Design_Table!$E$21-J11</f>
        <v>11.6177232433941</v>
      </c>
      <c r="K38" s="17" t="n">
        <f aca="false">Design_Table!$F$21-M11</f>
        <v>13.118152257241</v>
      </c>
    </row>
    <row r="39" customFormat="false" ht="15" hidden="false" customHeight="false" outlineLevel="0" collapsed="false">
      <c r="A39" s="5" t="s">
        <v>146</v>
      </c>
      <c r="B39" s="17" t="n">
        <f aca="false">Design_Table!$C$21-D12</f>
        <v>7.6461</v>
      </c>
      <c r="E39" s="17" t="n">
        <f aca="false">Design_Table!$D$21-G12</f>
        <v>9.19352236466304</v>
      </c>
      <c r="H39" s="17" t="n">
        <f aca="false">Design_Table!$E$21-J12</f>
        <v>10.350214745249</v>
      </c>
      <c r="K39" s="17" t="n">
        <f aca="false">Design_Table!$F$21-M12</f>
        <v>11.6869450303458</v>
      </c>
    </row>
  </sheetData>
  <mergeCells count="22">
    <mergeCell ref="A1:N1"/>
    <mergeCell ref="A2:N2"/>
    <mergeCell ref="A3:N3"/>
    <mergeCell ref="B5:D5"/>
    <mergeCell ref="E5:G5"/>
    <mergeCell ref="H5:J5"/>
    <mergeCell ref="K5:M5"/>
    <mergeCell ref="A14:M14"/>
    <mergeCell ref="B15:D15"/>
    <mergeCell ref="E15:G15"/>
    <mergeCell ref="H15:J15"/>
    <mergeCell ref="K15:M15"/>
    <mergeCell ref="A23:M23"/>
    <mergeCell ref="B24:D24"/>
    <mergeCell ref="E24:G24"/>
    <mergeCell ref="H24:J24"/>
    <mergeCell ref="K24:M24"/>
    <mergeCell ref="A32:N32"/>
    <mergeCell ref="B33:D33"/>
    <mergeCell ref="E33:G33"/>
    <mergeCell ref="H33:J33"/>
    <mergeCell ref="K33:M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3" min="3" style="0" width="9"/>
    <col collapsed="false" customWidth="true" hidden="false" outlineLevel="0" max="5" min="4" style="0" width="12"/>
    <col collapsed="false" customWidth="true" hidden="false" outlineLevel="0" max="6" min="6" style="0" width="26"/>
    <col collapsed="false" customWidth="true" hidden="false" outlineLevel="0" max="7" min="7" style="0" width="12"/>
    <col collapsed="false" customWidth="true" hidden="false" outlineLevel="0" max="8" min="8" style="0" width="60"/>
  </cols>
  <sheetData>
    <row r="1" customFormat="false" ht="17.35" hidden="false" customHeight="false" outlineLevel="0" collapsed="false">
      <c r="A1" s="1" t="s">
        <v>168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169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170</v>
      </c>
      <c r="B4" s="3" t="s">
        <v>171</v>
      </c>
      <c r="C4" s="3" t="s">
        <v>172</v>
      </c>
      <c r="D4" s="3" t="s">
        <v>173</v>
      </c>
      <c r="E4" s="3" t="s">
        <v>174</v>
      </c>
      <c r="F4" s="3" t="s">
        <v>175</v>
      </c>
      <c r="G4" s="3" t="s">
        <v>176</v>
      </c>
      <c r="H4" s="3" t="s">
        <v>30</v>
      </c>
    </row>
    <row r="5" customFormat="false" ht="15" hidden="false" customHeight="false" outlineLevel="0" collapsed="false">
      <c r="A5" s="5" t="s">
        <v>177</v>
      </c>
      <c r="B5" s="5" t="s">
        <v>178</v>
      </c>
      <c r="C5" s="4" t="n">
        <v>11.6</v>
      </c>
      <c r="D5" s="4" t="n">
        <v>610</v>
      </c>
      <c r="E5" s="4" t="n">
        <v>1010</v>
      </c>
      <c r="F5" s="5" t="s">
        <v>179</v>
      </c>
      <c r="G5" s="4" t="s">
        <v>180</v>
      </c>
      <c r="H5" s="5" t="s">
        <v>181</v>
      </c>
    </row>
    <row r="6" customFormat="false" ht="15" hidden="false" customHeight="false" outlineLevel="0" collapsed="false">
      <c r="A6" s="5" t="s">
        <v>182</v>
      </c>
      <c r="B6" s="5" t="s">
        <v>183</v>
      </c>
      <c r="C6" s="4" t="n">
        <v>12.6</v>
      </c>
      <c r="D6" s="4" t="n">
        <v>705</v>
      </c>
      <c r="E6" s="4" t="n">
        <v>1450</v>
      </c>
      <c r="F6" s="5" t="s">
        <v>184</v>
      </c>
      <c r="G6" s="4" t="s">
        <v>185</v>
      </c>
      <c r="H6" s="5" t="s">
        <v>186</v>
      </c>
    </row>
    <row r="7" customFormat="false" ht="15" hidden="false" customHeight="false" outlineLevel="0" collapsed="false">
      <c r="A7" s="5" t="s">
        <v>187</v>
      </c>
      <c r="B7" s="5" t="s">
        <v>188</v>
      </c>
      <c r="C7" s="4" t="n">
        <v>10.3</v>
      </c>
      <c r="D7" s="4" t="n">
        <v>560</v>
      </c>
      <c r="E7" s="4" t="n">
        <v>950</v>
      </c>
      <c r="F7" s="5" t="s">
        <v>189</v>
      </c>
      <c r="G7" s="4" t="s">
        <v>180</v>
      </c>
      <c r="H7" s="5" t="s">
        <v>190</v>
      </c>
    </row>
    <row r="8" customFormat="false" ht="15" hidden="false" customHeight="false" outlineLevel="0" collapsed="false">
      <c r="A8" s="5" t="s">
        <v>191</v>
      </c>
      <c r="B8" s="5" t="s">
        <v>192</v>
      </c>
      <c r="C8" s="4" t="n">
        <v>11</v>
      </c>
      <c r="D8" s="4" t="n">
        <v>745</v>
      </c>
      <c r="E8" s="4" t="n">
        <v>1725</v>
      </c>
      <c r="F8" s="5" t="s">
        <v>193</v>
      </c>
      <c r="G8" s="4" t="s">
        <v>185</v>
      </c>
      <c r="H8" s="5" t="s">
        <v>194</v>
      </c>
    </row>
    <row r="9" customFormat="false" ht="15" hidden="false" customHeight="false" outlineLevel="0" collapsed="false">
      <c r="A9" s="5" t="s">
        <v>195</v>
      </c>
      <c r="B9" s="5" t="s">
        <v>196</v>
      </c>
      <c r="C9" s="4" t="n">
        <v>15.8</v>
      </c>
      <c r="D9" s="4" t="n">
        <v>870</v>
      </c>
      <c r="E9" s="4" t="n">
        <v>1630</v>
      </c>
      <c r="F9" s="5" t="s">
        <v>197</v>
      </c>
      <c r="G9" s="4" t="s">
        <v>198</v>
      </c>
      <c r="H9" s="5" t="s">
        <v>199</v>
      </c>
    </row>
    <row r="10" customFormat="false" ht="15" hidden="false" customHeight="false" outlineLevel="0" collapsed="false">
      <c r="A10" s="5" t="s">
        <v>200</v>
      </c>
      <c r="B10" s="5" t="s">
        <v>201</v>
      </c>
      <c r="C10" s="4" t="n">
        <v>10</v>
      </c>
      <c r="D10" s="4" t="n">
        <v>800</v>
      </c>
      <c r="E10" s="4" t="n">
        <v>1820</v>
      </c>
      <c r="F10" s="5" t="s">
        <v>202</v>
      </c>
      <c r="G10" s="4" t="s">
        <v>185</v>
      </c>
      <c r="H10" s="5" t="s">
        <v>203</v>
      </c>
    </row>
    <row r="11" customFormat="false" ht="15" hidden="false" customHeight="false" outlineLevel="0" collapsed="false">
      <c r="A11" s="5" t="s">
        <v>204</v>
      </c>
      <c r="B11" s="5" t="s">
        <v>205</v>
      </c>
      <c r="C11" s="4" t="n">
        <v>7.7</v>
      </c>
      <c r="D11" s="4" t="n">
        <v>370</v>
      </c>
      <c r="E11" s="4" t="n">
        <v>350</v>
      </c>
      <c r="F11" s="5" t="s">
        <v>206</v>
      </c>
      <c r="G11" s="4" t="s">
        <v>180</v>
      </c>
      <c r="H11" s="5" t="s">
        <v>207</v>
      </c>
    </row>
    <row r="12" customFormat="false" ht="15" hidden="false" customHeight="false" outlineLevel="0" collapsed="false">
      <c r="A12" s="5" t="s">
        <v>208</v>
      </c>
      <c r="B12" s="5" t="s">
        <v>188</v>
      </c>
      <c r="C12" s="4" t="n">
        <v>10.1</v>
      </c>
      <c r="D12" s="4" t="n">
        <v>590</v>
      </c>
      <c r="E12" s="4" t="n">
        <v>900</v>
      </c>
      <c r="F12" s="5" t="s">
        <v>209</v>
      </c>
      <c r="G12" s="4" t="s">
        <v>180</v>
      </c>
      <c r="H12" s="5" t="s">
        <v>210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8"/>
    <col collapsed="false" customWidth="true" hidden="false" outlineLevel="0" max="6" min="3" style="0" width="14"/>
  </cols>
  <sheetData>
    <row r="1" customFormat="false" ht="17.35" hidden="false" customHeight="false" outlineLevel="0" collapsed="false">
      <c r="A1" s="1" t="s">
        <v>211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212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95</v>
      </c>
      <c r="B4" s="3" t="s">
        <v>29</v>
      </c>
      <c r="C4" s="3" t="s">
        <v>96</v>
      </c>
      <c r="D4" s="3" t="s">
        <v>97</v>
      </c>
      <c r="E4" s="3" t="s">
        <v>98</v>
      </c>
      <c r="F4" s="3" t="s">
        <v>99</v>
      </c>
    </row>
    <row r="5" customFormat="false" ht="15" hidden="false" customHeight="false" outlineLevel="0" collapsed="false">
      <c r="A5" s="9" t="s">
        <v>213</v>
      </c>
      <c r="B5" s="9"/>
      <c r="C5" s="9"/>
      <c r="D5" s="9"/>
      <c r="E5" s="9"/>
      <c r="F5" s="9"/>
    </row>
    <row r="6" customFormat="false" ht="15" hidden="false" customHeight="false" outlineLevel="0" collapsed="false">
      <c r="A6" s="5" t="s">
        <v>72</v>
      </c>
      <c r="B6" s="13" t="s">
        <v>41</v>
      </c>
      <c r="C6" s="22" t="n">
        <f aca="false">Master_Inputs!$B$29</f>
        <v>8</v>
      </c>
      <c r="D6" s="22" t="n">
        <f aca="false">Master_Inputs!$B$29</f>
        <v>8</v>
      </c>
      <c r="E6" s="22" t="n">
        <f aca="false">Master_Inputs!$B$29</f>
        <v>8</v>
      </c>
      <c r="F6" s="22" t="n">
        <f aca="false">Master_Inputs!$B$29</f>
        <v>8</v>
      </c>
    </row>
    <row r="7" customFormat="false" ht="15" hidden="false" customHeight="false" outlineLevel="0" collapsed="false">
      <c r="A7" s="5" t="s">
        <v>110</v>
      </c>
      <c r="B7" s="13" t="s">
        <v>45</v>
      </c>
      <c r="C7" s="17" t="n">
        <f aca="false">Design_Table!C16</f>
        <v>0.49704</v>
      </c>
      <c r="D7" s="17" t="n">
        <f aca="false">Design_Table!D16</f>
        <v>0.548815</v>
      </c>
      <c r="E7" s="17" t="n">
        <f aca="false">Design_Table!E16</f>
        <v>0.60059</v>
      </c>
      <c r="F7" s="17" t="n">
        <f aca="false">Design_Table!F16</f>
        <v>0.652365</v>
      </c>
    </row>
    <row r="8" customFormat="false" ht="15" hidden="false" customHeight="false" outlineLevel="0" collapsed="false">
      <c r="A8" s="5" t="s">
        <v>214</v>
      </c>
      <c r="B8" s="13" t="s">
        <v>45</v>
      </c>
      <c r="C8" s="17" t="n">
        <f aca="false">Design_Table!C16-2*Master_Inputs!$B$31</f>
        <v>0.29704</v>
      </c>
      <c r="D8" s="17" t="n">
        <f aca="false">Design_Table!D16-2*Master_Inputs!$B$31</f>
        <v>0.348815</v>
      </c>
      <c r="E8" s="17" t="n">
        <f aca="false">Design_Table!E16-2*Master_Inputs!$B$31</f>
        <v>0.40059</v>
      </c>
      <c r="F8" s="17" t="n">
        <f aca="false">Design_Table!F16-2*Master_Inputs!$B$31</f>
        <v>0.452365</v>
      </c>
    </row>
    <row r="10" customFormat="false" ht="15" hidden="false" customHeight="false" outlineLevel="0" collapsed="false">
      <c r="A10" s="9" t="s">
        <v>215</v>
      </c>
      <c r="B10" s="9"/>
      <c r="C10" s="9"/>
      <c r="D10" s="9"/>
      <c r="E10" s="9"/>
      <c r="F10" s="9"/>
    </row>
    <row r="11" customFormat="false" ht="15" hidden="false" customHeight="false" outlineLevel="0" collapsed="false">
      <c r="A11" s="9" t="s">
        <v>216</v>
      </c>
      <c r="B11" s="9"/>
      <c r="C11" s="9"/>
      <c r="D11" s="9"/>
      <c r="E11" s="9"/>
      <c r="F11" s="9"/>
    </row>
    <row r="12" customFormat="false" ht="15" hidden="false" customHeight="false" outlineLevel="0" collapsed="false">
      <c r="A12" s="9" t="s">
        <v>217</v>
      </c>
      <c r="B12" s="9"/>
      <c r="C12" s="9"/>
      <c r="D12" s="9"/>
      <c r="E12" s="9"/>
      <c r="F12" s="9"/>
    </row>
    <row r="13" customFormat="false" ht="15" hidden="false" customHeight="false" outlineLevel="0" collapsed="false">
      <c r="A13" s="9" t="s">
        <v>218</v>
      </c>
      <c r="B13" s="9"/>
      <c r="C13" s="9"/>
      <c r="D13" s="9"/>
      <c r="E13" s="9"/>
      <c r="F13" s="9"/>
    </row>
    <row r="14" customFormat="false" ht="15" hidden="false" customHeight="false" outlineLevel="0" collapsed="false">
      <c r="A14" s="5" t="s">
        <v>219</v>
      </c>
      <c r="B14" s="13" t="s">
        <v>45</v>
      </c>
      <c r="C14" s="17" t="n">
        <f aca="false">Design_Table!C36*C9</f>
        <v>0</v>
      </c>
      <c r="D14" s="17" t="n">
        <f aca="false">Design_Table!D36*C9</f>
        <v>0</v>
      </c>
      <c r="E14" s="17" t="n">
        <f aca="false">Design_Table!E36*C9</f>
        <v>0</v>
      </c>
      <c r="F14" s="17" t="n">
        <f aca="false">Design_Table!F36*C9</f>
        <v>0</v>
      </c>
    </row>
    <row r="15" customFormat="false" ht="15" hidden="false" customHeight="false" outlineLevel="0" collapsed="false">
      <c r="A15" s="5" t="s">
        <v>220</v>
      </c>
      <c r="B15" s="13" t="s">
        <v>45</v>
      </c>
      <c r="C15" s="17" t="n">
        <f aca="false">Design_Table!C36*C10</f>
        <v>0</v>
      </c>
      <c r="D15" s="17" t="n">
        <f aca="false">Design_Table!D36*C10</f>
        <v>0</v>
      </c>
      <c r="E15" s="17" t="n">
        <f aca="false">Design_Table!E36*C10</f>
        <v>0</v>
      </c>
      <c r="F15" s="17" t="n">
        <f aca="false">Design_Table!F36*C10</f>
        <v>0</v>
      </c>
    </row>
    <row r="16" customFormat="false" ht="15" hidden="false" customHeight="false" outlineLevel="0" collapsed="false">
      <c r="A16" s="5" t="s">
        <v>221</v>
      </c>
      <c r="B16" s="13" t="s">
        <v>45</v>
      </c>
      <c r="C16" s="17" t="n">
        <f aca="false">Design_Table!C36*C11</f>
        <v>0</v>
      </c>
      <c r="D16" s="17" t="n">
        <f aca="false">Design_Table!D36*C11</f>
        <v>0</v>
      </c>
      <c r="E16" s="17" t="n">
        <f aca="false">Design_Table!E36*C11</f>
        <v>0</v>
      </c>
      <c r="F16" s="17" t="n">
        <f aca="false">Design_Table!F36*C11</f>
        <v>0</v>
      </c>
    </row>
    <row r="18" customFormat="false" ht="15" hidden="false" customHeight="false" outlineLevel="0" collapsed="false">
      <c r="A18" s="9" t="s">
        <v>222</v>
      </c>
      <c r="B18" s="9"/>
      <c r="C18" s="9"/>
      <c r="D18" s="9"/>
      <c r="E18" s="9"/>
      <c r="F18" s="9"/>
    </row>
    <row r="19" customFormat="false" ht="15" hidden="false" customHeight="false" outlineLevel="0" collapsed="false">
      <c r="A19" s="9" t="s">
        <v>223</v>
      </c>
      <c r="B19" s="9"/>
      <c r="C19" s="9"/>
      <c r="D19" s="9"/>
      <c r="E19" s="9"/>
      <c r="F19" s="9"/>
    </row>
    <row r="20" customFormat="false" ht="15" hidden="false" customHeight="false" outlineLevel="0" collapsed="false">
      <c r="A20" s="9" t="s">
        <v>224</v>
      </c>
      <c r="B20" s="9"/>
      <c r="C20" s="9"/>
      <c r="D20" s="9"/>
      <c r="E20" s="9"/>
      <c r="F20" s="9"/>
    </row>
    <row r="21" customFormat="false" ht="15" hidden="false" customHeight="false" outlineLevel="0" collapsed="false">
      <c r="A21" s="9" t="s">
        <v>225</v>
      </c>
      <c r="B21" s="9"/>
      <c r="C21" s="9"/>
      <c r="D21" s="9"/>
      <c r="E21" s="9"/>
      <c r="F21" s="9"/>
    </row>
    <row r="22" customFormat="false" ht="15" hidden="false" customHeight="false" outlineLevel="0" collapsed="false">
      <c r="A22" s="9" t="s">
        <v>226</v>
      </c>
      <c r="B22" s="9"/>
      <c r="C22" s="9"/>
      <c r="D22" s="9"/>
      <c r="E22" s="9"/>
      <c r="F22" s="9"/>
    </row>
    <row r="24" customFormat="false" ht="15" hidden="false" customHeight="false" outlineLevel="0" collapsed="false">
      <c r="A24" s="9" t="s">
        <v>227</v>
      </c>
      <c r="B24" s="9"/>
      <c r="C24" s="9"/>
      <c r="D24" s="9"/>
      <c r="E24" s="9"/>
      <c r="F24" s="9"/>
    </row>
    <row r="25" customFormat="false" ht="15" hidden="false" customHeight="false" outlineLevel="0" collapsed="false">
      <c r="A25" s="9" t="s">
        <v>228</v>
      </c>
      <c r="B25" s="9"/>
      <c r="C25" s="9"/>
      <c r="D25" s="9"/>
      <c r="E25" s="9"/>
      <c r="F25" s="9"/>
    </row>
    <row r="26" customFormat="false" ht="15" hidden="false" customHeight="false" outlineLevel="0" collapsed="false">
      <c r="A26" s="5" t="s">
        <v>229</v>
      </c>
      <c r="B26" s="13" t="s">
        <v>45</v>
      </c>
      <c r="C26" s="17" t="n">
        <f aca="false">Design_Table!C36*0.32</f>
        <v>7.029504</v>
      </c>
      <c r="D26" s="17" t="n">
        <f aca="false">Design_Table!D36*0.32</f>
        <v>7.99585431338435</v>
      </c>
      <c r="E26" s="17" t="n">
        <f aca="false">Design_Table!E36*0.32</f>
        <v>8.71213743695938</v>
      </c>
      <c r="F26" s="17" t="n">
        <f aca="false">Design_Table!F36*0.32</f>
        <v>9.54364481942131</v>
      </c>
    </row>
    <row r="27" customFormat="false" ht="15" hidden="false" customHeight="false" outlineLevel="0" collapsed="false">
      <c r="A27" s="5" t="s">
        <v>230</v>
      </c>
      <c r="B27" s="13" t="s">
        <v>45</v>
      </c>
      <c r="C27" s="17" t="n">
        <f aca="false">Design_Table!C36*0.55</f>
        <v>12.08196</v>
      </c>
      <c r="D27" s="17" t="n">
        <f aca="false">Design_Table!D36*0.55</f>
        <v>13.7428746011293</v>
      </c>
      <c r="E27" s="17" t="n">
        <f aca="false">Design_Table!E36*0.55</f>
        <v>14.9739862197739</v>
      </c>
      <c r="F27" s="17" t="n">
        <f aca="false">Design_Table!F36*0.55</f>
        <v>16.4031395333804</v>
      </c>
    </row>
    <row r="28" customFormat="false" ht="15" hidden="false" customHeight="false" outlineLevel="0" collapsed="false">
      <c r="A28" s="9" t="s">
        <v>231</v>
      </c>
      <c r="B28" s="9"/>
      <c r="C28" s="9"/>
      <c r="D28" s="9"/>
      <c r="E28" s="9"/>
      <c r="F28" s="9"/>
    </row>
    <row r="29" customFormat="false" ht="15" hidden="false" customHeight="false" outlineLevel="0" collapsed="false">
      <c r="A29" s="9" t="s">
        <v>232</v>
      </c>
      <c r="B29" s="9"/>
      <c r="C29" s="9"/>
      <c r="D29" s="9"/>
      <c r="E29" s="9"/>
      <c r="F29" s="9"/>
    </row>
    <row r="31" customFormat="false" ht="15" hidden="false" customHeight="false" outlineLevel="0" collapsed="false">
      <c r="A31" s="9" t="s">
        <v>233</v>
      </c>
      <c r="B31" s="9"/>
      <c r="C31" s="9"/>
      <c r="D31" s="9"/>
      <c r="E31" s="9"/>
      <c r="F31" s="9"/>
    </row>
    <row r="32" customFormat="false" ht="15" hidden="false" customHeight="false" outlineLevel="0" collapsed="false">
      <c r="A32" s="5" t="s">
        <v>234</v>
      </c>
      <c r="B32" s="13" t="s">
        <v>41</v>
      </c>
      <c r="C32" s="14" t="s">
        <v>235</v>
      </c>
      <c r="D32" s="14" t="s">
        <v>235</v>
      </c>
      <c r="E32" s="14" t="s">
        <v>235</v>
      </c>
      <c r="F32" s="14" t="s">
        <v>235</v>
      </c>
    </row>
    <row r="33" customFormat="false" ht="15" hidden="false" customHeight="false" outlineLevel="0" collapsed="false">
      <c r="A33" s="5" t="s">
        <v>236</v>
      </c>
      <c r="B33" s="13" t="s">
        <v>41</v>
      </c>
      <c r="C33" s="14" t="s">
        <v>235</v>
      </c>
      <c r="D33" s="14" t="s">
        <v>235</v>
      </c>
      <c r="E33" s="14" t="s">
        <v>235</v>
      </c>
      <c r="F33" s="14" t="s">
        <v>235</v>
      </c>
    </row>
    <row r="34" customFormat="false" ht="15" hidden="false" customHeight="false" outlineLevel="0" collapsed="false">
      <c r="A34" s="9" t="s">
        <v>237</v>
      </c>
      <c r="B34" s="9"/>
      <c r="C34" s="9"/>
      <c r="D34" s="9"/>
      <c r="E34" s="9"/>
      <c r="F34" s="9"/>
    </row>
    <row r="35" customFormat="false" ht="15" hidden="false" customHeight="false" outlineLevel="0" collapsed="false">
      <c r="A35" s="9" t="s">
        <v>238</v>
      </c>
      <c r="B35" s="9"/>
      <c r="C35" s="9"/>
      <c r="D35" s="9"/>
      <c r="E35" s="9"/>
      <c r="F35" s="9"/>
    </row>
  </sheetData>
  <mergeCells count="19">
    <mergeCell ref="A1:F1"/>
    <mergeCell ref="A2:F2"/>
    <mergeCell ref="A5:F5"/>
    <mergeCell ref="A10:F10"/>
    <mergeCell ref="A11:F11"/>
    <mergeCell ref="A12:F12"/>
    <mergeCell ref="A13:F13"/>
    <mergeCell ref="A18:F18"/>
    <mergeCell ref="A19:F19"/>
    <mergeCell ref="A20:F20"/>
    <mergeCell ref="A21:F21"/>
    <mergeCell ref="A22:F22"/>
    <mergeCell ref="A24:F24"/>
    <mergeCell ref="A25:F25"/>
    <mergeCell ref="A28:F28"/>
    <mergeCell ref="A29:F29"/>
    <mergeCell ref="A31:F31"/>
    <mergeCell ref="A34:F34"/>
    <mergeCell ref="A35:F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2026-05-05T09:01:51Z</dcterms:created>
  <dc:creator>openpyxl</dc:creator>
  <dc:description/>
  <dc:language>en-US</dc:language>
  <cp:lastModifiedBy/>
  <dcterms:modified xsi:type="dcterms:W3CDTF">2026-05-05T09:01:51Z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