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Floor Harp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26"/>
  <sheetViews>
    <sheetView workbookViewId="0">
      <pane ySplit="13" topLeftCell="A141" activePane="bottomLeft" state="frozen"/>
      <selection pane="bottomLeft" activeCell="A1" sqref="A1"/>
    </sheetView>
  </sheetViews>
  <sheetFormatPr baseColWidth="8" defaultRowHeight="12.75"/>
  <cols>
    <col width="137.140625" customWidth="1" style="817" min="1" max="1"/>
    <col width="38.140625" customWidth="1" style="817" min="2" max="2"/>
    <col width="22.85546875" customWidth="1" style="817" min="3" max="3"/>
    <col width="15.28515625" customWidth="1" style="817" min="4" max="4"/>
    <col width="19" customWidth="1" style="817" min="5" max="5"/>
    <col width="24.7109375" customWidth="1" style="817" min="6" max="6"/>
    <col width="11.42578125" customWidth="1" style="817" min="7" max="7"/>
    <col width="15.28515625" customWidth="1" style="817" min="8" max="9"/>
    <col width="13.28515625" customWidth="1" style="817" min="10" max="10"/>
    <col width="11.42578125" customWidth="1" style="817" min="11" max="11"/>
  </cols>
  <sheetData>
    <row r="1" ht="18" customHeight="1" s="817">
      <c r="A1" s="470" t="inlineStr">
        <is>
          <t>Floor Harp (34-String) — CNC Soundbox + Lathe Column</t>
        </is>
      </c>
    </row>
    <row r="2">
      <c r="A2" s="537" t="inlineStr">
        <is>
          <t>Mersenne-Taylor String Schedule · CNC Soundbox · Lathe-Turned Pillar · Lever Harp</t>
        </is>
      </c>
    </row>
    <row r="4" ht="15.75" customHeight="1" s="817">
      <c r="A4" s="660" t="inlineStr">
        <is>
          <t>DESIGN INPUTS</t>
        </is>
      </c>
    </row>
    <row r="5">
      <c r="A5" s="472" t="inlineStr">
        <is>
          <t>Shortest String Length (in)</t>
        </is>
      </c>
      <c r="B5" s="565" t="n">
        <v>5</v>
      </c>
      <c r="C5" s="598" t="inlineStr">
        <is>
          <t>String 1 (A6)</t>
        </is>
      </c>
    </row>
    <row r="6">
      <c r="A6" s="472" t="inlineStr">
        <is>
          <t>Longest String Length (in)</t>
        </is>
      </c>
      <c r="B6" s="565" t="n">
        <v>49</v>
      </c>
      <c r="C6" s="598" t="inlineStr">
        <is>
          <t>String 34 (C2)</t>
        </is>
      </c>
    </row>
    <row r="7">
      <c r="A7" s="472" t="inlineStr">
        <is>
          <t>Target Tension — Treble (lbs)</t>
        </is>
      </c>
      <c r="B7" s="565" t="n">
        <v>10</v>
      </c>
      <c r="C7" s="598" t="inlineStr">
        <is>
          <t>Strings 1–10</t>
        </is>
      </c>
    </row>
    <row r="8">
      <c r="A8" s="472" t="inlineStr">
        <is>
          <t>Target Tension — Bass (lbs)</t>
        </is>
      </c>
      <c r="B8" s="565" t="n">
        <v>16</v>
      </c>
      <c r="C8" s="598" t="inlineStr">
        <is>
          <t>Strings 25–34</t>
        </is>
      </c>
    </row>
    <row r="9">
      <c r="A9" s="472" t="inlineStr">
        <is>
          <t>Nylon Density (lb/in³)</t>
        </is>
      </c>
      <c r="B9" s="701" t="n">
        <v>0.04155</v>
      </c>
    </row>
    <row r="10">
      <c r="A10" s="472" t="inlineStr">
        <is>
          <t>Wound Density Factor</t>
        </is>
      </c>
      <c r="B10" s="565" t="n">
        <v>2.5</v>
      </c>
      <c r="C10" s="598" t="inlineStr">
        <is>
          <t>× nylon density for wound bass</t>
        </is>
      </c>
    </row>
    <row r="11">
      <c r="A11" s="472" t="inlineStr">
        <is>
          <t>Wound String Start (#)</t>
        </is>
      </c>
      <c r="B11" s="565" t="n">
        <v>25</v>
      </c>
      <c r="C11" s="598" t="inlineStr">
        <is>
          <t>Strings 25+ use wound construction</t>
        </is>
      </c>
    </row>
    <row r="12" ht="15.75" customHeight="1" s="817">
      <c r="A12" s="663" t="inlineStr">
        <is>
          <t>STRING SCHEDULE — Mersenne-Taylor: T = μ × (2Lf)² / g</t>
        </is>
      </c>
      <c r="C12" s="708" t="inlineStr">
        <is>
          <t>← Vibrating lengths are BLUE INPUT cells — adjust for your neck curve</t>
        </is>
      </c>
    </row>
    <row r="13">
      <c r="A13" s="486" t="inlineStr">
        <is>
          <t>#</t>
        </is>
      </c>
      <c r="B13" s="486" t="inlineStr">
        <is>
          <t>Note</t>
        </is>
      </c>
      <c r="C13" s="486" t="inlineStr">
        <is>
          <t>Oct</t>
        </is>
      </c>
      <c r="D13" s="486" t="inlineStr">
        <is>
          <t>MIDI</t>
        </is>
      </c>
      <c r="E13" s="486" t="inlineStr">
        <is>
          <t>Freq (Hz)</t>
        </is>
      </c>
      <c r="F13" s="486" t="inlineStr">
        <is>
          <t>Vib Len (in)</t>
        </is>
      </c>
      <c r="G13" s="486" t="inlineStr">
        <is>
          <t>Material</t>
        </is>
      </c>
      <c r="H13" s="486" t="inlineStr">
        <is>
          <t>Gauge (in)</t>
        </is>
      </c>
      <c r="I13" s="486" t="inlineStr">
        <is>
          <t>Tension (lbs)</t>
        </is>
      </c>
      <c r="J13" s="486" t="inlineStr">
        <is>
          <t>%Breaking</t>
        </is>
      </c>
      <c r="K13" s="486" t="inlineStr">
        <is>
          <t>Color</t>
        </is>
      </c>
    </row>
    <row r="14">
      <c r="A14" t="n">
        <v>1</v>
      </c>
      <c r="B14" t="inlineStr">
        <is>
          <t>A</t>
        </is>
      </c>
      <c r="C14" t="n">
        <v>6</v>
      </c>
      <c r="D14" t="n">
        <v>93</v>
      </c>
      <c r="E14" s="469">
        <f>440*2^((D14-69)/12)</f>
        <v/>
      </c>
      <c r="F14" s="565" t="n">
        <v>4</v>
      </c>
      <c r="G14" t="inlineStr">
        <is>
          <t>Nylon</t>
        </is>
      </c>
      <c r="H14" s="648">
        <f>2*SQRT(($B$7+(A14-1)*($B$8-$B$7)/33)*386.4/(IF(A14&gt;=$B$11,$B$9*$B$10,$B$9)*PI()*4*F14^2*E14^2))</f>
        <v/>
      </c>
      <c r="I14" s="481">
        <f>IF(A14&gt;=$B$11,$B$9*$B$10,$B$9)*PI()*(H14/2)^2*4*F14^2*E14^2/386.4</f>
        <v/>
      </c>
      <c r="J14" s="702">
        <f>IF(A14&gt;=$B$11,$B$9*$B$10,$B$9)*4*F14^2*E14^2/(44600*386.4)</f>
        <v/>
      </c>
      <c r="K14" t="inlineStr">
        <is>
          <t>White</t>
        </is>
      </c>
    </row>
    <row r="15">
      <c r="A15" t="n">
        <v>2</v>
      </c>
      <c r="B15" t="inlineStr">
        <is>
          <t>G</t>
        </is>
      </c>
      <c r="C15" t="n">
        <v>6</v>
      </c>
      <c r="D15" t="n">
        <v>91</v>
      </c>
      <c r="E15" s="469">
        <f>440*2^((D15-69)/12)</f>
        <v/>
      </c>
      <c r="F15" s="565" t="n">
        <v>4.8</v>
      </c>
      <c r="G15" t="inlineStr">
        <is>
          <t>Nylon</t>
        </is>
      </c>
      <c r="H15" s="648">
        <f>2*SQRT(($B$7+(A15-1)*($B$8-$B$7)/33)*386.4/(IF(A15&gt;=$B$11,$B$9*$B$10,$B$9)*PI()*4*F15^2*E15^2))</f>
        <v/>
      </c>
      <c r="I15" s="481">
        <f>IF(A15&gt;=$B$11,$B$9*$B$10,$B$9)*PI()*(H15/2)^2*4*F15^2*E15^2/386.4</f>
        <v/>
      </c>
      <c r="J15" s="702">
        <f>IF(A15&gt;=$B$11,$B$9*$B$10,$B$9)*4*F15^2*E15^2/(44600*386.4)</f>
        <v/>
      </c>
      <c r="K15" t="inlineStr">
        <is>
          <t>White</t>
        </is>
      </c>
    </row>
    <row r="16">
      <c r="A16" t="n">
        <v>3</v>
      </c>
      <c r="B16" s="704" t="inlineStr">
        <is>
          <t>F</t>
        </is>
      </c>
      <c r="C16" t="n">
        <v>6</v>
      </c>
      <c r="D16" t="n">
        <v>89</v>
      </c>
      <c r="E16" s="469">
        <f>440*2^((D16-69)/12)</f>
        <v/>
      </c>
      <c r="F16" s="565" t="n">
        <v>5.5</v>
      </c>
      <c r="G16" t="inlineStr">
        <is>
          <t>Nylon</t>
        </is>
      </c>
      <c r="H16" s="648">
        <f>2*SQRT(($B$7+(A16-1)*($B$8-$B$7)/33)*386.4/(IF(A16&gt;=$B$11,$B$9*$B$10,$B$9)*PI()*4*F16^2*E16^2))</f>
        <v/>
      </c>
      <c r="I16" s="481">
        <f>IF(A16&gt;=$B$11,$B$9*$B$10,$B$9)*PI()*(H16/2)^2*4*F16^2*E16^2/386.4</f>
        <v/>
      </c>
      <c r="J16" s="702">
        <f>IF(A16&gt;=$B$11,$B$9*$B$10,$B$9)*4*F16^2*E16^2/(44600*386.4)</f>
        <v/>
      </c>
      <c r="K16" s="703" t="inlineStr">
        <is>
          <t>Blue</t>
        </is>
      </c>
    </row>
    <row r="17">
      <c r="A17" t="n">
        <v>4</v>
      </c>
      <c r="B17" t="inlineStr">
        <is>
          <t>E</t>
        </is>
      </c>
      <c r="C17" t="n">
        <v>6</v>
      </c>
      <c r="D17" t="n">
        <v>88</v>
      </c>
      <c r="E17" s="469">
        <f>440*2^((D17-69)/12)</f>
        <v/>
      </c>
      <c r="F17" s="565" t="n">
        <v>6.2</v>
      </c>
      <c r="G17" t="inlineStr">
        <is>
          <t>Nylon</t>
        </is>
      </c>
      <c r="H17" s="648">
        <f>2*SQRT(($B$7+(A17-1)*($B$8-$B$7)/33)*386.4/(IF(A17&gt;=$B$11,$B$9*$B$10,$B$9)*PI()*4*F17^2*E17^2))</f>
        <v/>
      </c>
      <c r="I17" s="481">
        <f>IF(A17&gt;=$B$11,$B$9*$B$10,$B$9)*PI()*(H17/2)^2*4*F17^2*E17^2/386.4</f>
        <v/>
      </c>
      <c r="J17" s="702">
        <f>IF(A17&gt;=$B$11,$B$9*$B$10,$B$9)*4*F17^2*E17^2/(44600*386.4)</f>
        <v/>
      </c>
      <c r="K17" t="inlineStr">
        <is>
          <t>White</t>
        </is>
      </c>
    </row>
    <row r="18">
      <c r="A18" t="n">
        <v>5</v>
      </c>
      <c r="B18" t="inlineStr">
        <is>
          <t>D</t>
        </is>
      </c>
      <c r="C18" t="n">
        <v>6</v>
      </c>
      <c r="D18" t="n">
        <v>86</v>
      </c>
      <c r="E18" s="469">
        <f>440*2^((D18-69)/12)</f>
        <v/>
      </c>
      <c r="F18" s="565" t="n">
        <v>7</v>
      </c>
      <c r="G18" t="inlineStr">
        <is>
          <t>Nylon</t>
        </is>
      </c>
      <c r="H18" s="648">
        <f>2*SQRT(($B$7+(A18-1)*($B$8-$B$7)/33)*386.4/(IF(A18&gt;=$B$11,$B$9*$B$10,$B$9)*PI()*4*F18^2*E18^2))</f>
        <v/>
      </c>
      <c r="I18" s="481">
        <f>IF(A18&gt;=$B$11,$B$9*$B$10,$B$9)*PI()*(H18/2)^2*4*F18^2*E18^2/386.4</f>
        <v/>
      </c>
      <c r="J18" s="702">
        <f>IF(A18&gt;=$B$11,$B$9*$B$10,$B$9)*4*F18^2*E18^2/(44600*386.4)</f>
        <v/>
      </c>
      <c r="K18" t="inlineStr">
        <is>
          <t>White</t>
        </is>
      </c>
    </row>
    <row r="19">
      <c r="A19" t="n">
        <v>6</v>
      </c>
      <c r="B19" s="691" t="inlineStr">
        <is>
          <t>C</t>
        </is>
      </c>
      <c r="C19" t="n">
        <v>6</v>
      </c>
      <c r="D19" t="n">
        <v>84</v>
      </c>
      <c r="E19" s="469">
        <f>440*2^((D19-69)/12)</f>
        <v/>
      </c>
      <c r="F19" s="565" t="n">
        <v>8</v>
      </c>
      <c r="G19" t="inlineStr">
        <is>
          <t>Nylon</t>
        </is>
      </c>
      <c r="H19" s="648">
        <f>2*SQRT(($B$7+(A19-1)*($B$8-$B$7)/33)*386.4/(IF(A19&gt;=$B$11,$B$9*$B$10,$B$9)*PI()*4*F19^2*E19^2))</f>
        <v/>
      </c>
      <c r="I19" s="481">
        <f>IF(A19&gt;=$B$11,$B$9*$B$10,$B$9)*PI()*(H19/2)^2*4*F19^2*E19^2/386.4</f>
        <v/>
      </c>
      <c r="J19" s="702">
        <f>IF(A19&gt;=$B$11,$B$9*$B$10,$B$9)*4*F19^2*E19^2/(44600*386.4)</f>
        <v/>
      </c>
      <c r="K19" s="556" t="inlineStr">
        <is>
          <t>Red</t>
        </is>
      </c>
    </row>
    <row r="20">
      <c r="A20" t="n">
        <v>7</v>
      </c>
      <c r="B20" t="inlineStr">
        <is>
          <t>B</t>
        </is>
      </c>
      <c r="C20" t="n">
        <v>5</v>
      </c>
      <c r="D20" t="n">
        <v>83</v>
      </c>
      <c r="E20" s="469">
        <f>440*2^((D20-69)/12)</f>
        <v/>
      </c>
      <c r="F20" s="565" t="n">
        <v>8.800000000000001</v>
      </c>
      <c r="G20" t="inlineStr">
        <is>
          <t>Nylon</t>
        </is>
      </c>
      <c r="H20" s="648">
        <f>2*SQRT(($B$7+(A20-1)*($B$8-$B$7)/33)*386.4/(IF(A20&gt;=$B$11,$B$9*$B$10,$B$9)*PI()*4*F20^2*E20^2))</f>
        <v/>
      </c>
      <c r="I20" s="481">
        <f>IF(A20&gt;=$B$11,$B$9*$B$10,$B$9)*PI()*(H20/2)^2*4*F20^2*E20^2/386.4</f>
        <v/>
      </c>
      <c r="J20" s="702">
        <f>IF(A20&gt;=$B$11,$B$9*$B$10,$B$9)*4*F20^2*E20^2/(44600*386.4)</f>
        <v/>
      </c>
      <c r="K20" t="inlineStr">
        <is>
          <t>White</t>
        </is>
      </c>
    </row>
    <row r="21">
      <c r="A21" t="n">
        <v>8</v>
      </c>
      <c r="B21" t="inlineStr">
        <is>
          <t>A</t>
        </is>
      </c>
      <c r="C21" t="n">
        <v>5</v>
      </c>
      <c r="D21" t="n">
        <v>81</v>
      </c>
      <c r="E21" s="469">
        <f>440*2^((D21-69)/12)</f>
        <v/>
      </c>
      <c r="F21" s="565" t="n">
        <v>9.800000000000001</v>
      </c>
      <c r="G21" t="inlineStr">
        <is>
          <t>Nylon</t>
        </is>
      </c>
      <c r="H21" s="648">
        <f>2*SQRT(($B$7+(A21-1)*($B$8-$B$7)/33)*386.4/(IF(A21&gt;=$B$11,$B$9*$B$10,$B$9)*PI()*4*F21^2*E21^2))</f>
        <v/>
      </c>
      <c r="I21" s="481">
        <f>IF(A21&gt;=$B$11,$B$9*$B$10,$B$9)*PI()*(H21/2)^2*4*F21^2*E21^2/386.4</f>
        <v/>
      </c>
      <c r="J21" s="702">
        <f>IF(A21&gt;=$B$11,$B$9*$B$10,$B$9)*4*F21^2*E21^2/(44600*386.4)</f>
        <v/>
      </c>
      <c r="K21" t="inlineStr">
        <is>
          <t>White</t>
        </is>
      </c>
    </row>
    <row r="22">
      <c r="A22" t="n">
        <v>9</v>
      </c>
      <c r="B22" t="inlineStr">
        <is>
          <t>G</t>
        </is>
      </c>
      <c r="C22" t="n">
        <v>5</v>
      </c>
      <c r="D22" t="n">
        <v>79</v>
      </c>
      <c r="E22" s="469">
        <f>440*2^((D22-69)/12)</f>
        <v/>
      </c>
      <c r="F22" s="565" t="n">
        <v>10.8</v>
      </c>
      <c r="G22" t="inlineStr">
        <is>
          <t>Nylon</t>
        </is>
      </c>
      <c r="H22" s="648">
        <f>2*SQRT(($B$7+(A22-1)*($B$8-$B$7)/33)*386.4/(IF(A22&gt;=$B$11,$B$9*$B$10,$B$9)*PI()*4*F22^2*E22^2))</f>
        <v/>
      </c>
      <c r="I22" s="481">
        <f>IF(A22&gt;=$B$11,$B$9*$B$10,$B$9)*PI()*(H22/2)^2*4*F22^2*E22^2/386.4</f>
        <v/>
      </c>
      <c r="J22" s="702">
        <f>IF(A22&gt;=$B$11,$B$9*$B$10,$B$9)*4*F22^2*E22^2/(44600*386.4)</f>
        <v/>
      </c>
      <c r="K22" t="inlineStr">
        <is>
          <t>White</t>
        </is>
      </c>
    </row>
    <row r="23">
      <c r="A23" t="n">
        <v>10</v>
      </c>
      <c r="B23" s="704" t="inlineStr">
        <is>
          <t>F</t>
        </is>
      </c>
      <c r="C23" t="n">
        <v>5</v>
      </c>
      <c r="D23" t="n">
        <v>77</v>
      </c>
      <c r="E23" s="469">
        <f>440*2^((D23-69)/12)</f>
        <v/>
      </c>
      <c r="F23" s="565" t="n">
        <v>11.8</v>
      </c>
      <c r="G23" t="inlineStr">
        <is>
          <t>Nylon</t>
        </is>
      </c>
      <c r="H23" s="648">
        <f>2*SQRT(($B$7+(A23-1)*($B$8-$B$7)/33)*386.4/(IF(A23&gt;=$B$11,$B$9*$B$10,$B$9)*PI()*4*F23^2*E23^2))</f>
        <v/>
      </c>
      <c r="I23" s="481">
        <f>IF(A23&gt;=$B$11,$B$9*$B$10,$B$9)*PI()*(H23/2)^2*4*F23^2*E23^2/386.4</f>
        <v/>
      </c>
      <c r="J23" s="702">
        <f>IF(A23&gt;=$B$11,$B$9*$B$10,$B$9)*4*F23^2*E23^2/(44600*386.4)</f>
        <v/>
      </c>
      <c r="K23" s="703" t="inlineStr">
        <is>
          <t>Blue</t>
        </is>
      </c>
    </row>
    <row r="24">
      <c r="A24" t="n">
        <v>11</v>
      </c>
      <c r="B24" t="inlineStr">
        <is>
          <t>E</t>
        </is>
      </c>
      <c r="C24" t="n">
        <v>5</v>
      </c>
      <c r="D24" t="n">
        <v>76</v>
      </c>
      <c r="E24" s="469">
        <f>440*2^((D24-69)/12)</f>
        <v/>
      </c>
      <c r="F24" s="565" t="n">
        <v>12.8</v>
      </c>
      <c r="G24" t="inlineStr">
        <is>
          <t>Nylon</t>
        </is>
      </c>
      <c r="H24" s="648">
        <f>2*SQRT(($B$7+(A24-1)*($B$8-$B$7)/33)*386.4/(IF(A24&gt;=$B$11,$B$9*$B$10,$B$9)*PI()*4*F24^2*E24^2))</f>
        <v/>
      </c>
      <c r="I24" s="481">
        <f>IF(A24&gt;=$B$11,$B$9*$B$10,$B$9)*PI()*(H24/2)^2*4*F24^2*E24^2/386.4</f>
        <v/>
      </c>
      <c r="J24" s="702">
        <f>IF(A24&gt;=$B$11,$B$9*$B$10,$B$9)*4*F24^2*E24^2/(44600*386.4)</f>
        <v/>
      </c>
      <c r="K24" t="inlineStr">
        <is>
          <t>White</t>
        </is>
      </c>
    </row>
    <row r="25">
      <c r="A25" t="n">
        <v>12</v>
      </c>
      <c r="B25" t="inlineStr">
        <is>
          <t>D</t>
        </is>
      </c>
      <c r="C25" t="n">
        <v>5</v>
      </c>
      <c r="D25" t="n">
        <v>74</v>
      </c>
      <c r="E25" s="469">
        <f>440*2^((D25-69)/12)</f>
        <v/>
      </c>
      <c r="F25" s="565" t="n">
        <v>13.8</v>
      </c>
      <c r="G25" t="inlineStr">
        <is>
          <t>Nylon</t>
        </is>
      </c>
      <c r="H25" s="648">
        <f>2*SQRT(($B$7+(A25-1)*($B$8-$B$7)/33)*386.4/(IF(A25&gt;=$B$11,$B$9*$B$10,$B$9)*PI()*4*F25^2*E25^2))</f>
        <v/>
      </c>
      <c r="I25" s="481">
        <f>IF(A25&gt;=$B$11,$B$9*$B$10,$B$9)*PI()*(H25/2)^2*4*F25^2*E25^2/386.4</f>
        <v/>
      </c>
      <c r="J25" s="702">
        <f>IF(A25&gt;=$B$11,$B$9*$B$10,$B$9)*4*F25^2*E25^2/(44600*386.4)</f>
        <v/>
      </c>
      <c r="K25" t="inlineStr">
        <is>
          <t>White</t>
        </is>
      </c>
    </row>
    <row r="26">
      <c r="A26" t="n">
        <v>13</v>
      </c>
      <c r="B26" s="691" t="inlineStr">
        <is>
          <t>C</t>
        </is>
      </c>
      <c r="C26" t="n">
        <v>5</v>
      </c>
      <c r="D26" t="n">
        <v>72</v>
      </c>
      <c r="E26" s="469">
        <f>440*2^((D26-69)/12)</f>
        <v/>
      </c>
      <c r="F26" s="565" t="n">
        <v>14.8</v>
      </c>
      <c r="G26" t="inlineStr">
        <is>
          <t>Nylon</t>
        </is>
      </c>
      <c r="H26" s="648">
        <f>2*SQRT(($B$7+(A26-1)*($B$8-$B$7)/33)*386.4/(IF(A26&gt;=$B$11,$B$9*$B$10,$B$9)*PI()*4*F26^2*E26^2))</f>
        <v/>
      </c>
      <c r="I26" s="481">
        <f>IF(A26&gt;=$B$11,$B$9*$B$10,$B$9)*PI()*(H26/2)^2*4*F26^2*E26^2/386.4</f>
        <v/>
      </c>
      <c r="J26" s="702">
        <f>IF(A26&gt;=$B$11,$B$9*$B$10,$B$9)*4*F26^2*E26^2/(44600*386.4)</f>
        <v/>
      </c>
      <c r="K26" s="556" t="inlineStr">
        <is>
          <t>Red</t>
        </is>
      </c>
    </row>
    <row r="27">
      <c r="A27" t="n">
        <v>14</v>
      </c>
      <c r="B27" t="inlineStr">
        <is>
          <t>B</t>
        </is>
      </c>
      <c r="C27" t="n">
        <v>4</v>
      </c>
      <c r="D27" t="n">
        <v>71</v>
      </c>
      <c r="E27" s="469">
        <f>440*2^((D27-69)/12)</f>
        <v/>
      </c>
      <c r="F27" s="565" t="n">
        <v>15.8</v>
      </c>
      <c r="G27" t="inlineStr">
        <is>
          <t>Nylon</t>
        </is>
      </c>
      <c r="H27" s="648">
        <f>2*SQRT(($B$7+(A27-1)*($B$8-$B$7)/33)*386.4/(IF(A27&gt;=$B$11,$B$9*$B$10,$B$9)*PI()*4*F27^2*E27^2))</f>
        <v/>
      </c>
      <c r="I27" s="481">
        <f>IF(A27&gt;=$B$11,$B$9*$B$10,$B$9)*PI()*(H27/2)^2*4*F27^2*E27^2/386.4</f>
        <v/>
      </c>
      <c r="J27" s="702">
        <f>IF(A27&gt;=$B$11,$B$9*$B$10,$B$9)*4*F27^2*E27^2/(44600*386.4)</f>
        <v/>
      </c>
      <c r="K27" t="inlineStr">
        <is>
          <t>White</t>
        </is>
      </c>
    </row>
    <row r="28">
      <c r="A28" s="551" t="n">
        <v>15</v>
      </c>
      <c r="B28" s="551" t="inlineStr">
        <is>
          <t>A</t>
        </is>
      </c>
      <c r="C28" s="551" t="n">
        <v>4</v>
      </c>
      <c r="D28" s="551" t="n">
        <v>69</v>
      </c>
      <c r="E28" s="665">
        <f>440*2^((D28-69)/12)</f>
        <v/>
      </c>
      <c r="F28" s="565" t="n">
        <v>17</v>
      </c>
      <c r="G28" s="551" t="inlineStr">
        <is>
          <t>Nylon</t>
        </is>
      </c>
      <c r="H28" s="705">
        <f>2*SQRT(($B$7+(A28-1)*($B$8-$B$7)/33)*386.4/(IF(A28&gt;=$B$11,$B$9*$B$10,$B$9)*PI()*4*F28^2*E28^2))</f>
        <v/>
      </c>
      <c r="I28" s="666">
        <f>IF(A28&gt;=$B$11,$B$9*$B$10,$B$9)*PI()*(H28/2)^2*4*F28^2*E28^2/386.4</f>
        <v/>
      </c>
      <c r="J28" s="706">
        <f>IF(A28&gt;=$B$11,$B$9*$B$10,$B$9)*4*F28^2*E28^2/(44600*386.4)</f>
        <v/>
      </c>
      <c r="K28" s="551" t="inlineStr">
        <is>
          <t>White</t>
        </is>
      </c>
    </row>
    <row r="29">
      <c r="A29" t="n">
        <v>16</v>
      </c>
      <c r="B29" t="inlineStr">
        <is>
          <t>G</t>
        </is>
      </c>
      <c r="C29" t="n">
        <v>4</v>
      </c>
      <c r="D29" t="n">
        <v>67</v>
      </c>
      <c r="E29" s="469">
        <f>440*2^((D29-69)/12)</f>
        <v/>
      </c>
      <c r="F29" s="565" t="n">
        <v>18.2</v>
      </c>
      <c r="G29" t="inlineStr">
        <is>
          <t>Nylon</t>
        </is>
      </c>
      <c r="H29" s="648">
        <f>2*SQRT(($B$7+(A29-1)*($B$8-$B$7)/33)*386.4/(IF(A29&gt;=$B$11,$B$9*$B$10,$B$9)*PI()*4*F29^2*E29^2))</f>
        <v/>
      </c>
      <c r="I29" s="481">
        <f>IF(A29&gt;=$B$11,$B$9*$B$10,$B$9)*PI()*(H29/2)^2*4*F29^2*E29^2/386.4</f>
        <v/>
      </c>
      <c r="J29" s="702">
        <f>IF(A29&gt;=$B$11,$B$9*$B$10,$B$9)*4*F29^2*E29^2/(44600*386.4)</f>
        <v/>
      </c>
      <c r="K29" t="inlineStr">
        <is>
          <t>White</t>
        </is>
      </c>
    </row>
    <row r="30">
      <c r="A30" t="n">
        <v>17</v>
      </c>
      <c r="B30" s="704" t="inlineStr">
        <is>
          <t>F</t>
        </is>
      </c>
      <c r="C30" t="n">
        <v>4</v>
      </c>
      <c r="D30" t="n">
        <v>65</v>
      </c>
      <c r="E30" s="469">
        <f>440*2^((D30-69)/12)</f>
        <v/>
      </c>
      <c r="F30" s="565" t="n">
        <v>19.5</v>
      </c>
      <c r="G30" t="inlineStr">
        <is>
          <t>Nylon</t>
        </is>
      </c>
      <c r="H30" s="648">
        <f>2*SQRT(($B$7+(A30-1)*($B$8-$B$7)/33)*386.4/(IF(A30&gt;=$B$11,$B$9*$B$10,$B$9)*PI()*4*F30^2*E30^2))</f>
        <v/>
      </c>
      <c r="I30" s="481">
        <f>IF(A30&gt;=$B$11,$B$9*$B$10,$B$9)*PI()*(H30/2)^2*4*F30^2*E30^2/386.4</f>
        <v/>
      </c>
      <c r="J30" s="702">
        <f>IF(A30&gt;=$B$11,$B$9*$B$10,$B$9)*4*F30^2*E30^2/(44600*386.4)</f>
        <v/>
      </c>
      <c r="K30" s="703" t="inlineStr">
        <is>
          <t>Blue</t>
        </is>
      </c>
    </row>
    <row r="31">
      <c r="A31" t="n">
        <v>18</v>
      </c>
      <c r="B31" t="inlineStr">
        <is>
          <t>E</t>
        </is>
      </c>
      <c r="C31" t="n">
        <v>4</v>
      </c>
      <c r="D31" t="n">
        <v>64</v>
      </c>
      <c r="E31" s="469">
        <f>440*2^((D31-69)/12)</f>
        <v/>
      </c>
      <c r="F31" s="565" t="n">
        <v>20.8</v>
      </c>
      <c r="G31" t="inlineStr">
        <is>
          <t>Nylon</t>
        </is>
      </c>
      <c r="H31" s="648">
        <f>2*SQRT(($B$7+(A31-1)*($B$8-$B$7)/33)*386.4/(IF(A31&gt;=$B$11,$B$9*$B$10,$B$9)*PI()*4*F31^2*E31^2))</f>
        <v/>
      </c>
      <c r="I31" s="481">
        <f>IF(A31&gt;=$B$11,$B$9*$B$10,$B$9)*PI()*(H31/2)^2*4*F31^2*E31^2/386.4</f>
        <v/>
      </c>
      <c r="J31" s="702">
        <f>IF(A31&gt;=$B$11,$B$9*$B$10,$B$9)*4*F31^2*E31^2/(44600*386.4)</f>
        <v/>
      </c>
      <c r="K31" t="inlineStr">
        <is>
          <t>White</t>
        </is>
      </c>
    </row>
    <row r="32">
      <c r="A32" t="n">
        <v>19</v>
      </c>
      <c r="B32" t="inlineStr">
        <is>
          <t>D</t>
        </is>
      </c>
      <c r="C32" t="n">
        <v>4</v>
      </c>
      <c r="D32" t="n">
        <v>62</v>
      </c>
      <c r="E32" s="469">
        <f>440*2^((D32-69)/12)</f>
        <v/>
      </c>
      <c r="F32" s="565" t="n">
        <v>22.2</v>
      </c>
      <c r="G32" t="inlineStr">
        <is>
          <t>Nylon</t>
        </is>
      </c>
      <c r="H32" s="648">
        <f>2*SQRT(($B$7+(A32-1)*($B$8-$B$7)/33)*386.4/(IF(A32&gt;=$B$11,$B$9*$B$10,$B$9)*PI()*4*F32^2*E32^2))</f>
        <v/>
      </c>
      <c r="I32" s="481">
        <f>IF(A32&gt;=$B$11,$B$9*$B$10,$B$9)*PI()*(H32/2)^2*4*F32^2*E32^2/386.4</f>
        <v/>
      </c>
      <c r="J32" s="702">
        <f>IF(A32&gt;=$B$11,$B$9*$B$10,$B$9)*4*F32^2*E32^2/(44600*386.4)</f>
        <v/>
      </c>
      <c r="K32" t="inlineStr">
        <is>
          <t>White</t>
        </is>
      </c>
    </row>
    <row r="33">
      <c r="A33" t="n">
        <v>20</v>
      </c>
      <c r="B33" s="691" t="inlineStr">
        <is>
          <t>C</t>
        </is>
      </c>
      <c r="C33" t="n">
        <v>4</v>
      </c>
      <c r="D33" t="n">
        <v>60</v>
      </c>
      <c r="E33" s="469">
        <f>440*2^((D33-69)/12)</f>
        <v/>
      </c>
      <c r="F33" s="565" t="n">
        <v>23.5</v>
      </c>
      <c r="G33" t="inlineStr">
        <is>
          <t>Nylon</t>
        </is>
      </c>
      <c r="H33" s="648">
        <f>2*SQRT(($B$7+(A33-1)*($B$8-$B$7)/33)*386.4/(IF(A33&gt;=$B$11,$B$9*$B$10,$B$9)*PI()*4*F33^2*E33^2))</f>
        <v/>
      </c>
      <c r="I33" s="481">
        <f>IF(A33&gt;=$B$11,$B$9*$B$10,$B$9)*PI()*(H33/2)^2*4*F33^2*E33^2/386.4</f>
        <v/>
      </c>
      <c r="J33" s="702">
        <f>IF(A33&gt;=$B$11,$B$9*$B$10,$B$9)*4*F33^2*E33^2/(44600*386.4)</f>
        <v/>
      </c>
      <c r="K33" s="556" t="inlineStr">
        <is>
          <t>Red</t>
        </is>
      </c>
    </row>
    <row r="34">
      <c r="A34" t="n">
        <v>21</v>
      </c>
      <c r="B34" t="inlineStr">
        <is>
          <t>B</t>
        </is>
      </c>
      <c r="C34" t="n">
        <v>3</v>
      </c>
      <c r="D34" t="n">
        <v>59</v>
      </c>
      <c r="E34" s="469">
        <f>440*2^((D34-69)/12)</f>
        <v/>
      </c>
      <c r="F34" s="565" t="n">
        <v>25</v>
      </c>
      <c r="G34" t="inlineStr">
        <is>
          <t>Nylon</t>
        </is>
      </c>
      <c r="H34" s="648">
        <f>2*SQRT(($B$7+(A34-1)*($B$8-$B$7)/33)*386.4/(IF(A34&gt;=$B$11,$B$9*$B$10,$B$9)*PI()*4*F34^2*E34^2))</f>
        <v/>
      </c>
      <c r="I34" s="481">
        <f>IF(A34&gt;=$B$11,$B$9*$B$10,$B$9)*PI()*(H34/2)^2*4*F34^2*E34^2/386.4</f>
        <v/>
      </c>
      <c r="J34" s="702">
        <f>IF(A34&gt;=$B$11,$B$9*$B$10,$B$9)*4*F34^2*E34^2/(44600*386.4)</f>
        <v/>
      </c>
      <c r="K34" t="inlineStr">
        <is>
          <t>White</t>
        </is>
      </c>
    </row>
    <row r="35">
      <c r="A35" t="n">
        <v>22</v>
      </c>
      <c r="B35" t="inlineStr">
        <is>
          <t>A</t>
        </is>
      </c>
      <c r="C35" t="n">
        <v>3</v>
      </c>
      <c r="D35" t="n">
        <v>57</v>
      </c>
      <c r="E35" s="469">
        <f>440*2^((D35-69)/12)</f>
        <v/>
      </c>
      <c r="F35" s="565" t="n">
        <v>26.5</v>
      </c>
      <c r="G35" t="inlineStr">
        <is>
          <t>Nylon</t>
        </is>
      </c>
      <c r="H35" s="648">
        <f>2*SQRT(($B$7+(A35-1)*($B$8-$B$7)/33)*386.4/(IF(A35&gt;=$B$11,$B$9*$B$10,$B$9)*PI()*4*F35^2*E35^2))</f>
        <v/>
      </c>
      <c r="I35" s="481">
        <f>IF(A35&gt;=$B$11,$B$9*$B$10,$B$9)*PI()*(H35/2)^2*4*F35^2*E35^2/386.4</f>
        <v/>
      </c>
      <c r="J35" s="702">
        <f>IF(A35&gt;=$B$11,$B$9*$B$10,$B$9)*4*F35^2*E35^2/(44600*386.4)</f>
        <v/>
      </c>
      <c r="K35" t="inlineStr">
        <is>
          <t>White</t>
        </is>
      </c>
    </row>
    <row r="36">
      <c r="A36" t="n">
        <v>23</v>
      </c>
      <c r="B36" t="inlineStr">
        <is>
          <t>G</t>
        </is>
      </c>
      <c r="C36" t="n">
        <v>3</v>
      </c>
      <c r="D36" t="n">
        <v>55</v>
      </c>
      <c r="E36" s="469">
        <f>440*2^((D36-69)/12)</f>
        <v/>
      </c>
      <c r="F36" s="565" t="n">
        <v>28</v>
      </c>
      <c r="G36" t="inlineStr">
        <is>
          <t>Nylon</t>
        </is>
      </c>
      <c r="H36" s="648">
        <f>2*SQRT(($B$7+(A36-1)*($B$8-$B$7)/33)*386.4/(IF(A36&gt;=$B$11,$B$9*$B$10,$B$9)*PI()*4*F36^2*E36^2))</f>
        <v/>
      </c>
      <c r="I36" s="481">
        <f>IF(A36&gt;=$B$11,$B$9*$B$10,$B$9)*PI()*(H36/2)^2*4*F36^2*E36^2/386.4</f>
        <v/>
      </c>
      <c r="J36" s="702">
        <f>IF(A36&gt;=$B$11,$B$9*$B$10,$B$9)*4*F36^2*E36^2/(44600*386.4)</f>
        <v/>
      </c>
      <c r="K36" t="inlineStr">
        <is>
          <t>White</t>
        </is>
      </c>
    </row>
    <row r="37">
      <c r="A37" t="n">
        <v>24</v>
      </c>
      <c r="B37" s="704" t="inlineStr">
        <is>
          <t>F</t>
        </is>
      </c>
      <c r="C37" t="n">
        <v>3</v>
      </c>
      <c r="D37" t="n">
        <v>53</v>
      </c>
      <c r="E37" s="469">
        <f>440*2^((D37-69)/12)</f>
        <v/>
      </c>
      <c r="F37" s="565" t="n">
        <v>30</v>
      </c>
      <c r="G37" t="inlineStr">
        <is>
          <t>Nylon</t>
        </is>
      </c>
      <c r="H37" s="648">
        <f>2*SQRT(($B$7+(A37-1)*($B$8-$B$7)/33)*386.4/(IF(A37&gt;=$B$11,$B$9*$B$10,$B$9)*PI()*4*F37^2*E37^2))</f>
        <v/>
      </c>
      <c r="I37" s="481">
        <f>IF(A37&gt;=$B$11,$B$9*$B$10,$B$9)*PI()*(H37/2)^2*4*F37^2*E37^2/386.4</f>
        <v/>
      </c>
      <c r="J37" s="702">
        <f>IF(A37&gt;=$B$11,$B$9*$B$10,$B$9)*4*F37^2*E37^2/(44600*386.4)</f>
        <v/>
      </c>
      <c r="K37" s="703" t="inlineStr">
        <is>
          <t>Blue</t>
        </is>
      </c>
    </row>
    <row r="38">
      <c r="A38" t="n">
        <v>25</v>
      </c>
      <c r="B38" t="inlineStr">
        <is>
          <t>E</t>
        </is>
      </c>
      <c r="C38" t="n">
        <v>3</v>
      </c>
      <c r="D38" t="n">
        <v>52</v>
      </c>
      <c r="E38" s="469">
        <f>440*2^((D38-69)/12)</f>
        <v/>
      </c>
      <c r="F38" s="565" t="n">
        <v>31.5</v>
      </c>
      <c r="G38" t="inlineStr">
        <is>
          <t>Wound</t>
        </is>
      </c>
      <c r="H38" s="648">
        <f>2*SQRT(($B$7+(A38-1)*($B$8-$B$7)/33)*386.4/(IF(A38&gt;=$B$11,$B$9*$B$10,$B$9)*PI()*4*F38^2*E38^2))</f>
        <v/>
      </c>
      <c r="I38" s="481">
        <f>IF(A38&gt;=$B$11,$B$9*$B$10,$B$9)*PI()*(H38/2)^2*4*F38^2*E38^2/386.4</f>
        <v/>
      </c>
      <c r="J38" s="702">
        <f>IF(A38&gt;=$B$11,$B$9*$B$10,$B$9)*4*F38^2*E38^2/(44600*386.4)</f>
        <v/>
      </c>
      <c r="K38" t="inlineStr">
        <is>
          <t>White</t>
        </is>
      </c>
    </row>
    <row r="39">
      <c r="A39" t="n">
        <v>26</v>
      </c>
      <c r="B39" t="inlineStr">
        <is>
          <t>D</t>
        </is>
      </c>
      <c r="C39" t="n">
        <v>3</v>
      </c>
      <c r="D39" t="n">
        <v>50</v>
      </c>
      <c r="E39" s="469">
        <f>440*2^((D39-69)/12)</f>
        <v/>
      </c>
      <c r="F39" s="565" t="n">
        <v>33.5</v>
      </c>
      <c r="G39" t="inlineStr">
        <is>
          <t>Wound</t>
        </is>
      </c>
      <c r="H39" s="648">
        <f>2*SQRT(($B$7+(A39-1)*($B$8-$B$7)/33)*386.4/(IF(A39&gt;=$B$11,$B$9*$B$10,$B$9)*PI()*4*F39^2*E39^2))</f>
        <v/>
      </c>
      <c r="I39" s="481">
        <f>IF(A39&gt;=$B$11,$B$9*$B$10,$B$9)*PI()*(H39/2)^2*4*F39^2*E39^2/386.4</f>
        <v/>
      </c>
      <c r="J39" s="702">
        <f>IF(A39&gt;=$B$11,$B$9*$B$10,$B$9)*4*F39^2*E39^2/(44600*386.4)</f>
        <v/>
      </c>
      <c r="K39" t="inlineStr">
        <is>
          <t>White</t>
        </is>
      </c>
    </row>
    <row r="40">
      <c r="A40" t="n">
        <v>27</v>
      </c>
      <c r="B40" s="691" t="inlineStr">
        <is>
          <t>C</t>
        </is>
      </c>
      <c r="C40" t="n">
        <v>3</v>
      </c>
      <c r="D40" t="n">
        <v>48</v>
      </c>
      <c r="E40" s="469">
        <f>440*2^((D40-69)/12)</f>
        <v/>
      </c>
      <c r="F40" s="565" t="n">
        <v>35.5</v>
      </c>
      <c r="G40" t="inlineStr">
        <is>
          <t>Wound</t>
        </is>
      </c>
      <c r="H40" s="648">
        <f>2*SQRT(($B$7+(A40-1)*($B$8-$B$7)/33)*386.4/(IF(A40&gt;=$B$11,$B$9*$B$10,$B$9)*PI()*4*F40^2*E40^2))</f>
        <v/>
      </c>
      <c r="I40" s="481">
        <f>IF(A40&gt;=$B$11,$B$9*$B$10,$B$9)*PI()*(H40/2)^2*4*F40^2*E40^2/386.4</f>
        <v/>
      </c>
      <c r="J40" s="702">
        <f>IF(A40&gt;=$B$11,$B$9*$B$10,$B$9)*4*F40^2*E40^2/(44600*386.4)</f>
        <v/>
      </c>
      <c r="K40" s="556" t="inlineStr">
        <is>
          <t>Red</t>
        </is>
      </c>
    </row>
    <row r="41">
      <c r="A41" t="n">
        <v>28</v>
      </c>
      <c r="B41" t="inlineStr">
        <is>
          <t>B</t>
        </is>
      </c>
      <c r="C41" t="n">
        <v>2</v>
      </c>
      <c r="D41" t="n">
        <v>47</v>
      </c>
      <c r="E41" s="469">
        <f>440*2^((D41-69)/12)</f>
        <v/>
      </c>
      <c r="F41" s="565" t="n">
        <v>37.5</v>
      </c>
      <c r="G41" t="inlineStr">
        <is>
          <t>Wound</t>
        </is>
      </c>
      <c r="H41" s="648">
        <f>2*SQRT(($B$7+(A41-1)*($B$8-$B$7)/33)*386.4/(IF(A41&gt;=$B$11,$B$9*$B$10,$B$9)*PI()*4*F41^2*E41^2))</f>
        <v/>
      </c>
      <c r="I41" s="481">
        <f>IF(A41&gt;=$B$11,$B$9*$B$10,$B$9)*PI()*(H41/2)^2*4*F41^2*E41^2/386.4</f>
        <v/>
      </c>
      <c r="J41" s="702">
        <f>IF(A41&gt;=$B$11,$B$9*$B$10,$B$9)*4*F41^2*E41^2/(44600*386.4)</f>
        <v/>
      </c>
      <c r="K41" t="inlineStr">
        <is>
          <t>White</t>
        </is>
      </c>
    </row>
    <row r="42">
      <c r="A42" t="n">
        <v>29</v>
      </c>
      <c r="B42" t="inlineStr">
        <is>
          <t>A</t>
        </is>
      </c>
      <c r="C42" t="n">
        <v>2</v>
      </c>
      <c r="D42" t="n">
        <v>45</v>
      </c>
      <c r="E42" s="469">
        <f>440*2^((D42-69)/12)</f>
        <v/>
      </c>
      <c r="F42" s="565" t="n">
        <v>39.5</v>
      </c>
      <c r="G42" t="inlineStr">
        <is>
          <t>Wound</t>
        </is>
      </c>
      <c r="H42" s="648">
        <f>2*SQRT(($B$7+(A42-1)*($B$8-$B$7)/33)*386.4/(IF(A42&gt;=$B$11,$B$9*$B$10,$B$9)*PI()*4*F42^2*E42^2))</f>
        <v/>
      </c>
      <c r="I42" s="481">
        <f>IF(A42&gt;=$B$11,$B$9*$B$10,$B$9)*PI()*(H42/2)^2*4*F42^2*E42^2/386.4</f>
        <v/>
      </c>
      <c r="J42" s="702">
        <f>IF(A42&gt;=$B$11,$B$9*$B$10,$B$9)*4*F42^2*E42^2/(44600*386.4)</f>
        <v/>
      </c>
      <c r="K42" t="inlineStr">
        <is>
          <t>White</t>
        </is>
      </c>
    </row>
    <row r="43">
      <c r="A43" t="n">
        <v>30</v>
      </c>
      <c r="B43" t="inlineStr">
        <is>
          <t>G</t>
        </is>
      </c>
      <c r="C43" t="n">
        <v>2</v>
      </c>
      <c r="D43" t="n">
        <v>43</v>
      </c>
      <c r="E43" s="469">
        <f>440*2^((D43-69)/12)</f>
        <v/>
      </c>
      <c r="F43" s="565" t="n">
        <v>41.5</v>
      </c>
      <c r="G43" t="inlineStr">
        <is>
          <t>Wound</t>
        </is>
      </c>
      <c r="H43" s="648">
        <f>2*SQRT(($B$7+(A43-1)*($B$8-$B$7)/33)*386.4/(IF(A43&gt;=$B$11,$B$9*$B$10,$B$9)*PI()*4*F43^2*E43^2))</f>
        <v/>
      </c>
      <c r="I43" s="481">
        <f>IF(A43&gt;=$B$11,$B$9*$B$10,$B$9)*PI()*(H43/2)^2*4*F43^2*E43^2/386.4</f>
        <v/>
      </c>
      <c r="J43" s="702">
        <f>IF(A43&gt;=$B$11,$B$9*$B$10,$B$9)*4*F43^2*E43^2/(44600*386.4)</f>
        <v/>
      </c>
      <c r="K43" t="inlineStr">
        <is>
          <t>White</t>
        </is>
      </c>
    </row>
    <row r="44">
      <c r="A44" t="n">
        <v>31</v>
      </c>
      <c r="B44" s="704" t="inlineStr">
        <is>
          <t>F</t>
        </is>
      </c>
      <c r="C44" t="n">
        <v>2</v>
      </c>
      <c r="D44" t="n">
        <v>41</v>
      </c>
      <c r="E44" s="469">
        <f>440*2^((D44-69)/12)</f>
        <v/>
      </c>
      <c r="F44" s="565" t="n">
        <v>43.5</v>
      </c>
      <c r="G44" t="inlineStr">
        <is>
          <t>Wound</t>
        </is>
      </c>
      <c r="H44" s="648">
        <f>2*SQRT(($B$7+(A44-1)*($B$8-$B$7)/33)*386.4/(IF(A44&gt;=$B$11,$B$9*$B$10,$B$9)*PI()*4*F44^2*E44^2))</f>
        <v/>
      </c>
      <c r="I44" s="481">
        <f>IF(A44&gt;=$B$11,$B$9*$B$10,$B$9)*PI()*(H44/2)^2*4*F44^2*E44^2/386.4</f>
        <v/>
      </c>
      <c r="J44" s="702">
        <f>IF(A44&gt;=$B$11,$B$9*$B$10,$B$9)*4*F44^2*E44^2/(44600*386.4)</f>
        <v/>
      </c>
      <c r="K44" s="703" t="inlineStr">
        <is>
          <t>Blue</t>
        </is>
      </c>
    </row>
    <row r="45">
      <c r="A45" t="n">
        <v>32</v>
      </c>
      <c r="B45" t="inlineStr">
        <is>
          <t>E</t>
        </is>
      </c>
      <c r="C45" t="n">
        <v>2</v>
      </c>
      <c r="D45" t="n">
        <v>40</v>
      </c>
      <c r="E45" s="469">
        <f>440*2^((D45-69)/12)</f>
        <v/>
      </c>
      <c r="F45" s="565" t="n">
        <v>45</v>
      </c>
      <c r="G45" t="inlineStr">
        <is>
          <t>Wound</t>
        </is>
      </c>
      <c r="H45" s="648">
        <f>2*SQRT(($B$7+(A45-1)*($B$8-$B$7)/33)*386.4/(IF(A45&gt;=$B$11,$B$9*$B$10,$B$9)*PI()*4*F45^2*E45^2))</f>
        <v/>
      </c>
      <c r="I45" s="481">
        <f>IF(A45&gt;=$B$11,$B$9*$B$10,$B$9)*PI()*(H45/2)^2*4*F45^2*E45^2/386.4</f>
        <v/>
      </c>
      <c r="J45" s="702">
        <f>IF(A45&gt;=$B$11,$B$9*$B$10,$B$9)*4*F45^2*E45^2/(44600*386.4)</f>
        <v/>
      </c>
      <c r="K45" t="inlineStr">
        <is>
          <t>White</t>
        </is>
      </c>
    </row>
    <row r="46">
      <c r="A46" t="n">
        <v>33</v>
      </c>
      <c r="B46" t="inlineStr">
        <is>
          <t>D</t>
        </is>
      </c>
      <c r="C46" t="n">
        <v>2</v>
      </c>
      <c r="D46" t="n">
        <v>38</v>
      </c>
      <c r="E46" s="469">
        <f>440*2^((D46-69)/12)</f>
        <v/>
      </c>
      <c r="F46" s="565" t="n">
        <v>47</v>
      </c>
      <c r="G46" t="inlineStr">
        <is>
          <t>Wound</t>
        </is>
      </c>
      <c r="H46" s="648">
        <f>2*SQRT(($B$7+(A46-1)*($B$8-$B$7)/33)*386.4/(IF(A46&gt;=$B$11,$B$9*$B$10,$B$9)*PI()*4*F46^2*E46^2))</f>
        <v/>
      </c>
      <c r="I46" s="481">
        <f>IF(A46&gt;=$B$11,$B$9*$B$10,$B$9)*PI()*(H46/2)^2*4*F46^2*E46^2/386.4</f>
        <v/>
      </c>
      <c r="J46" s="702">
        <f>IF(A46&gt;=$B$11,$B$9*$B$10,$B$9)*4*F46^2*E46^2/(44600*386.4)</f>
        <v/>
      </c>
      <c r="K46" t="inlineStr">
        <is>
          <t>White</t>
        </is>
      </c>
    </row>
    <row r="47">
      <c r="A47" t="n">
        <v>34</v>
      </c>
      <c r="B47" s="691" t="inlineStr">
        <is>
          <t>C</t>
        </is>
      </c>
      <c r="C47" t="n">
        <v>2</v>
      </c>
      <c r="D47" t="n">
        <v>36</v>
      </c>
      <c r="E47" s="469">
        <f>440*2^((D47-69)/12)</f>
        <v/>
      </c>
      <c r="F47" s="565" t="n">
        <v>49</v>
      </c>
      <c r="G47" t="inlineStr">
        <is>
          <t>Wound</t>
        </is>
      </c>
      <c r="H47" s="648">
        <f>2*SQRT(($B$7+(A47-1)*($B$8-$B$7)/33)*386.4/(IF(A47&gt;=$B$11,$B$9*$B$10,$B$9)*PI()*4*F47^2*E47^2))</f>
        <v/>
      </c>
      <c r="I47" s="481">
        <f>IF(A47&gt;=$B$11,$B$9*$B$10,$B$9)*PI()*(H47/2)^2*4*F47^2*E47^2/386.4</f>
        <v/>
      </c>
      <c r="J47" s="702">
        <f>IF(A47&gt;=$B$11,$B$9*$B$10,$B$9)*4*F47^2*E47^2/(44600*386.4)</f>
        <v/>
      </c>
      <c r="K47" s="556" t="inlineStr">
        <is>
          <t>Red</t>
        </is>
      </c>
    </row>
    <row r="48">
      <c r="A48" s="484" t="inlineStr">
        <is>
          <t>TOTALS</t>
        </is>
      </c>
      <c r="H48" s="472" t="inlineStr">
        <is>
          <t>Total Load →</t>
        </is>
      </c>
      <c r="I48" s="707">
        <f>SUM(I14:I47)</f>
        <v/>
      </c>
      <c r="J48" t="inlineStr">
        <is>
          <t>lbs</t>
        </is>
      </c>
    </row>
    <row r="50" ht="15.75" customHeight="1" s="817">
      <c r="A50" s="709" t="inlineStr">
        <is>
          <t>STRUCTURAL ANALYSIS</t>
        </is>
      </c>
    </row>
    <row r="51">
      <c r="A51" s="472" t="inlineStr">
        <is>
          <t>Total String Tension (lbs)</t>
        </is>
      </c>
      <c r="B51" s="710">
        <f>I48</f>
        <v/>
      </c>
      <c r="C51" s="598" t="inlineStr">
        <is>
          <t>Must not exceed frame capacity</t>
        </is>
      </c>
    </row>
    <row r="52">
      <c r="A52" s="472" t="inlineStr">
        <is>
          <t>Safety Factor</t>
        </is>
      </c>
      <c r="B52" s="710" t="n">
        <v>2</v>
      </c>
      <c r="C52" s="598" t="inlineStr">
        <is>
          <t>Frame should handle 2× string load</t>
        </is>
      </c>
    </row>
    <row r="53">
      <c r="A53" s="472" t="inlineStr">
        <is>
          <t>Required Frame Strength (lbs)</t>
        </is>
      </c>
      <c r="B53" s="710">
        <f>B51*B52</f>
        <v/>
      </c>
      <c r="C53" s="598" t="n"/>
    </row>
    <row r="54">
      <c r="A54" s="472" t="inlineStr">
        <is>
          <t>Neck Bending Moment (in-lbs)</t>
        </is>
      </c>
      <c r="B54" s="710">
        <f>I48*30</f>
        <v/>
      </c>
      <c r="C54" s="598" t="inlineStr">
        <is>
          <t>Approx: total_T × avg_moment_arm</t>
        </is>
      </c>
    </row>
    <row r="55">
      <c r="A55" s="472" t="inlineStr">
        <is>
          <t>Min Neck Cross-Section (in²)</t>
        </is>
      </c>
      <c r="B55" s="710">
        <f>B54/(8000*0.5)</f>
        <v/>
      </c>
      <c r="C55" s="598" t="inlineStr">
        <is>
          <t>For hardwood at 8000 psi, SF=2</t>
        </is>
      </c>
    </row>
    <row r="56">
      <c r="A56" s="472" t="inlineStr">
        <is>
          <t>Pillar Compression Load (lbs)</t>
        </is>
      </c>
      <c r="B56" s="710">
        <f>I48*SIN(RADIANS(35))</f>
        <v/>
      </c>
      <c r="C56" s="598" t="inlineStr">
        <is>
          <t>At ~35° pillar angle</t>
        </is>
      </c>
    </row>
    <row r="59" ht="15.75" customHeight="1" s="817">
      <c r="A59" s="660" t="inlineStr">
        <is>
          <t>BILL OF MATERIALS</t>
        </is>
      </c>
    </row>
    <row r="60">
      <c r="A60" s="484" t="inlineStr">
        <is>
          <t>#</t>
        </is>
      </c>
      <c r="B60" s="484" t="inlineStr">
        <is>
          <t>Component</t>
        </is>
      </c>
      <c r="C60" s="484" t="inlineStr">
        <is>
          <t>Material</t>
        </is>
      </c>
      <c r="D60" s="484" t="inlineStr">
        <is>
          <t>Dimensions</t>
        </is>
      </c>
      <c r="E60" s="484" t="inlineStr">
        <is>
          <t>Qty</t>
        </is>
      </c>
      <c r="F60" s="484" t="inlineStr">
        <is>
          <t>Notes</t>
        </is>
      </c>
    </row>
    <row r="61">
      <c r="A61" t="n">
        <v>1</v>
      </c>
      <c r="B61" s="472" t="inlineStr">
        <is>
          <t>Soundbox — Back Panel</t>
        </is>
      </c>
      <c r="C61" t="inlineStr">
        <is>
          <t>3/4" Baltic Birch ply</t>
        </is>
      </c>
      <c r="D61" t="inlineStr">
        <is>
          <t>52"×7" (CNC profiled)</t>
        </is>
      </c>
      <c r="E61" t="n">
        <v>1</v>
      </c>
      <c r="F61" t="inlineStr">
        <is>
          <t>CNC: inner cavity, string holes, sound holes</t>
        </is>
      </c>
    </row>
    <row r="62">
      <c r="A62" t="n">
        <v>2</v>
      </c>
      <c r="B62" s="472" t="inlineStr">
        <is>
          <t>Soundbox — Soundboard</t>
        </is>
      </c>
      <c r="C62" t="inlineStr">
        <is>
          <t>1/4" Sitka Spruce</t>
        </is>
      </c>
      <c r="D62" t="inlineStr">
        <is>
          <t>52"×7" (thin face)</t>
        </is>
      </c>
      <c r="E62" t="n">
        <v>1</v>
      </c>
      <c r="F62" t="inlineStr">
        <is>
          <t>CNC: string pin holes, 2 sound holes, taper to 3/16" edges</t>
        </is>
      </c>
    </row>
    <row r="63">
      <c r="A63" t="n">
        <v>3</v>
      </c>
      <c r="B63" s="472" t="inlineStr">
        <is>
          <t>Soundbox — Ribs/Sides</t>
        </is>
      </c>
      <c r="C63" t="inlineStr">
        <is>
          <t>1/8" steam-bent hardwood</t>
        </is>
      </c>
      <c r="D63" t="inlineStr">
        <is>
          <t>52"×3" strips (4 pcs)</t>
        </is>
      </c>
      <c r="E63" t="n">
        <v>4</v>
      </c>
      <c r="F63" t="inlineStr">
        <is>
          <t>Kerf-bent on CNC or steam-bent</t>
        </is>
      </c>
    </row>
    <row r="64">
      <c r="A64" t="n">
        <v>4</v>
      </c>
      <c r="B64" s="472" t="inlineStr">
        <is>
          <t>Soundbox — Reinforcing Strip</t>
        </is>
      </c>
      <c r="C64" t="inlineStr">
        <is>
          <t>1/4" hardwood</t>
        </is>
      </c>
      <c r="D64" t="inlineStr">
        <is>
          <t>50"×1" (inside top)</t>
        </is>
      </c>
      <c r="E64" t="n">
        <v>1</v>
      </c>
      <c r="F64" t="inlineStr">
        <is>
          <t>Glued inside soundboard for string pull resistance</t>
        </is>
      </c>
    </row>
    <row r="65">
      <c r="A65" t="n">
        <v>5</v>
      </c>
      <c r="B65" s="472" t="inlineStr">
        <is>
          <t>Pillar (Column)</t>
        </is>
      </c>
      <c r="C65" t="inlineStr">
        <is>
          <t>Hardwood turning blank</t>
        </is>
      </c>
      <c r="D65" t="inlineStr">
        <is>
          <t>3"×3"×48" (lathe)</t>
        </is>
      </c>
      <c r="E65" t="n">
        <v>1</v>
      </c>
      <c r="F65" t="inlineStr">
        <is>
          <t>Lathe-turned, tapered. Mortise joints top/bottom</t>
        </is>
      </c>
    </row>
    <row r="66">
      <c r="A66" t="n">
        <v>6</v>
      </c>
      <c r="B66" s="472" t="inlineStr">
        <is>
          <t>Neck (Harmonic Curve)</t>
        </is>
      </c>
      <c r="C66" t="inlineStr">
        <is>
          <t>Laminated hardwood</t>
        </is>
      </c>
      <c r="D66" t="inlineStr">
        <is>
          <t>52"×3"×2" (CNC profiled)</t>
        </is>
      </c>
      <c r="E66" t="n">
        <v>1</v>
      </c>
      <c r="F66" t="inlineStr">
        <is>
          <t>CNC: string pin holes at calculated spacing, lever slots</t>
        </is>
      </c>
    </row>
    <row r="67">
      <c r="A67" t="n">
        <v>7</v>
      </c>
      <c r="B67" s="472" t="inlineStr">
        <is>
          <t>Neck Reinforcement</t>
        </is>
      </c>
      <c r="C67" t="inlineStr">
        <is>
          <t>1/4" steel rod</t>
        </is>
      </c>
      <c r="D67" t="inlineStr">
        <is>
          <t>48" (epoxied into channel)</t>
        </is>
      </c>
      <c r="E67" t="n">
        <v>1</v>
      </c>
      <c r="F67" t="inlineStr">
        <is>
          <t>CNC channel in neck underside for hidden rod</t>
        </is>
      </c>
    </row>
    <row r="68">
      <c r="A68" t="n">
        <v>8</v>
      </c>
      <c r="B68" s="472" t="inlineStr">
        <is>
          <t>Tuning Pins</t>
        </is>
      </c>
      <c r="C68" t="inlineStr">
        <is>
          <t>Zither pins, nickel-plated</t>
        </is>
      </c>
      <c r="D68" t="inlineStr">
        <is>
          <t>#4 or #5 (0.219" or 0.234")</t>
        </is>
      </c>
      <c r="E68" t="n">
        <v>34</v>
      </c>
      <c r="F68" t="inlineStr">
        <is>
          <t>Tapered pins, hammered into neck</t>
        </is>
      </c>
    </row>
    <row r="69">
      <c r="A69" t="n">
        <v>9</v>
      </c>
      <c r="B69" s="472" t="inlineStr">
        <is>
          <t>Bridge Pins</t>
        </is>
      </c>
      <c r="C69" t="inlineStr">
        <is>
          <t>Hardwood or brass</t>
        </is>
      </c>
      <c r="D69" t="inlineStr">
        <is>
          <t>1/8" dia × 3/4" long</t>
        </is>
      </c>
      <c r="E69" t="n">
        <v>34</v>
      </c>
      <c r="F69" t="inlineStr">
        <is>
          <t>Glued into soundboard, strings loop around</t>
        </is>
      </c>
    </row>
    <row r="70">
      <c r="A70" t="n">
        <v>10</v>
      </c>
      <c r="B70" s="472" t="inlineStr">
        <is>
          <t>Sharping Levers</t>
        </is>
      </c>
      <c r="C70" t="inlineStr">
        <is>
          <t>Loveland or Robinson</t>
        </is>
      </c>
      <c r="D70" t="inlineStr">
        <is>
          <t>Full set, 34 levers</t>
        </is>
      </c>
      <c r="E70" t="n">
        <v>34</v>
      </c>
      <c r="F70" t="inlineStr">
        <is>
          <t>Optional: raises each string one semitone</t>
        </is>
      </c>
    </row>
    <row r="71">
      <c r="A71" t="n">
        <v>11</v>
      </c>
      <c r="B71" s="472" t="inlineStr">
        <is>
          <t>Lever Screws</t>
        </is>
      </c>
      <c r="C71" t="inlineStr">
        <is>
          <t>Machine screws</t>
        </is>
      </c>
      <c r="D71" t="inlineStr">
        <is>
          <t>#6-32 × 1/2"</t>
        </is>
      </c>
      <c r="E71" t="n">
        <v>68</v>
      </c>
      <c r="F71" t="inlineStr">
        <is>
          <t>2 per lever</t>
        </is>
      </c>
    </row>
    <row r="72">
      <c r="A72" t="n">
        <v>12</v>
      </c>
      <c r="B72" s="472" t="inlineStr">
        <is>
          <t>Nylon Strings (treble)</t>
        </is>
      </c>
      <c r="C72" t="inlineStr">
        <is>
          <t>Nylon monofilament</t>
        </is>
      </c>
      <c r="D72" t="inlineStr">
        <is>
          <t>Gauges .020-.034 (see schedule)</t>
        </is>
      </c>
      <c r="E72" t="n">
        <v>24</v>
      </c>
      <c r="F72" t="inlineStr">
        <is>
          <t>Strings 1-24</t>
        </is>
      </c>
    </row>
    <row r="73">
      <c r="A73" t="n">
        <v>13</v>
      </c>
      <c r="B73" s="472" t="inlineStr">
        <is>
          <t>Wound Strings (bass)</t>
        </is>
      </c>
      <c r="C73" t="inlineStr">
        <is>
          <t>Nylon core, bronze wrap</t>
        </is>
      </c>
      <c r="D73" t="inlineStr">
        <is>
          <t>Custom gauges (see schedule)</t>
        </is>
      </c>
      <c r="E73" t="n">
        <v>10</v>
      </c>
      <c r="F73" t="inlineStr">
        <is>
          <t>Strings 25-34, order from string maker</t>
        </is>
      </c>
    </row>
    <row r="74">
      <c r="A74" t="n">
        <v>14</v>
      </c>
      <c r="B74" s="472" t="inlineStr">
        <is>
          <t>String Grommets</t>
        </is>
      </c>
      <c r="C74" t="inlineStr">
        <is>
          <t>Nylon or rubber</t>
        </is>
      </c>
      <c r="D74" t="inlineStr">
        <is>
          <t>Fits bridge pin holes</t>
        </is>
      </c>
      <c r="E74" t="n">
        <v>34</v>
      </c>
      <c r="F74" t="inlineStr">
        <is>
          <t>Protects soundboard holes from string wear</t>
        </is>
      </c>
    </row>
    <row r="75">
      <c r="A75" t="n">
        <v>15</v>
      </c>
      <c r="B75" s="472" t="inlineStr">
        <is>
          <t>Feet / Base</t>
        </is>
      </c>
      <c r="C75" t="inlineStr">
        <is>
          <t>Hardwood</t>
        </is>
      </c>
      <c r="D75" t="inlineStr">
        <is>
          <t>12"×6"×1" (pair)</t>
        </is>
      </c>
      <c r="E75" t="n">
        <v>2</v>
      </c>
      <c r="F75" t="inlineStr">
        <is>
          <t>CNC profiled, rubber pads underneath</t>
        </is>
      </c>
    </row>
    <row r="76">
      <c r="A76" t="n">
        <v>16</v>
      </c>
      <c r="B76" s="472" t="inlineStr">
        <is>
          <t>Wood Glue</t>
        </is>
      </c>
      <c r="C76" t="inlineStr">
        <is>
          <t>Titebond III</t>
        </is>
      </c>
      <c r="E76" t="n">
        <v>1</v>
      </c>
      <c r="F76" t="inlineStr">
        <is>
          <t>Waterproof for soundbox assembly</t>
        </is>
      </c>
    </row>
    <row r="77">
      <c r="A77" t="n">
        <v>17</v>
      </c>
      <c r="B77" s="472" t="inlineStr">
        <is>
          <t>Finish — Soundbox</t>
        </is>
      </c>
      <c r="C77" t="inlineStr">
        <is>
          <t>Shellac or lacquer</t>
        </is>
      </c>
      <c r="E77" t="n">
        <v>1</v>
      </c>
      <c r="F77" t="inlineStr">
        <is>
          <t>Thin coats to preserve resonance</t>
        </is>
      </c>
    </row>
    <row r="78">
      <c r="A78" t="n">
        <v>18</v>
      </c>
      <c r="B78" s="472" t="inlineStr">
        <is>
          <t>Finish — Pillar &amp; Neck</t>
        </is>
      </c>
      <c r="C78" t="inlineStr">
        <is>
          <t>Tung oil or lacquer</t>
        </is>
      </c>
      <c r="E78" t="n">
        <v>1</v>
      </c>
      <c r="F78" t="inlineStr">
        <is>
          <t>Durable finish for handled parts</t>
        </is>
      </c>
    </row>
    <row r="79">
      <c r="A79" t="n">
        <v>19</v>
      </c>
      <c r="B79" s="472" t="inlineStr">
        <is>
          <t>Tuning Wrench</t>
        </is>
      </c>
      <c r="C79" t="inlineStr">
        <is>
          <t>Fits #4 or #5 zither pins</t>
        </is>
      </c>
      <c r="D79" t="inlineStr">
        <is>
          <t>Star or T-handle</t>
        </is>
      </c>
      <c r="E79" t="n">
        <v>1</v>
      </c>
    </row>
    <row r="82" ht="15.75" customHeight="1" s="817">
      <c r="A82" s="668" t="inlineStr">
        <is>
          <t>BUILD METHOD</t>
        </is>
      </c>
    </row>
    <row r="83">
      <c r="A83" s="609" t="inlineStr">
        <is>
          <t>Step</t>
        </is>
      </c>
      <c r="B83" s="609" t="inlineStr">
        <is>
          <t>Operation</t>
        </is>
      </c>
      <c r="C83" s="609" t="inlineStr">
        <is>
          <t>Details</t>
        </is>
      </c>
    </row>
    <row r="84">
      <c r="A84" s="484" t="inlineStr">
        <is>
          <t>CAD &amp; DESIGN</t>
        </is>
      </c>
    </row>
    <row r="85">
      <c r="A85" t="n">
        <v>1</v>
      </c>
      <c r="B85" t="inlineStr">
        <is>
          <t>Model neck curve in CAD</t>
        </is>
      </c>
      <c r="C85" t="inlineStr">
        <is>
          <t>Import string schedule vibrating lengths → plot harmonic curve → export DXF for CNC</t>
        </is>
      </c>
    </row>
    <row r="86">
      <c r="A86" t="n">
        <v>2</v>
      </c>
      <c r="B86" t="inlineStr">
        <is>
          <t>Design soundbox cross-section</t>
        </is>
      </c>
      <c r="C86" t="inlineStr">
        <is>
          <t>Tapered cavity: 3" deep at bass end, 1.5" at treble. Width 6-7". Match neck curve.</t>
        </is>
      </c>
    </row>
    <row r="87">
      <c r="A87" t="n">
        <v>3</v>
      </c>
      <c r="B87" t="inlineStr">
        <is>
          <t>Calculate string pin spacing</t>
        </is>
      </c>
      <c r="C87" t="inlineStr">
        <is>
          <t>~0.44" center-to-center (uniform or graduated). Mark on neck and soundboard templates.</t>
        </is>
      </c>
    </row>
    <row r="88">
      <c r="A88" t="n">
        <v>4</v>
      </c>
      <c r="B88" t="inlineStr">
        <is>
          <t>Generate CNC toolpaths</t>
        </is>
      </c>
      <c r="C88" t="inlineStr">
        <is>
          <t>Soundbox cavity, soundboard taper, neck profile, string holes, sound holes, feet</t>
        </is>
      </c>
    </row>
    <row r="89">
      <c r="A89" s="484" t="inlineStr">
        <is>
          <t>CNC SOUNDBOX</t>
        </is>
      </c>
    </row>
    <row r="90">
      <c r="A90" t="n">
        <v>5</v>
      </c>
      <c r="B90" t="inlineStr">
        <is>
          <t>CNC back panel cavity</t>
        </is>
      </c>
      <c r="C90" t="inlineStr">
        <is>
          <t>3/4" Baltic birch. Pocket-clear interior to ~1/2" wall. Leave string hole bosses.</t>
        </is>
      </c>
    </row>
    <row r="91">
      <c r="A91" t="n">
        <v>6</v>
      </c>
      <c r="B91" t="inlineStr">
        <is>
          <t>CNC string holes in back</t>
        </is>
      </c>
      <c r="C91" t="inlineStr">
        <is>
          <t>34 holes, 3/16" dia, spaced per string schedule. Drill from inside.</t>
        </is>
      </c>
    </row>
    <row r="92">
      <c r="A92" t="n">
        <v>7</v>
      </c>
      <c r="B92" t="inlineStr">
        <is>
          <t>CNC sound holes</t>
        </is>
      </c>
      <c r="C92" t="inlineStr">
        <is>
          <t>Two 2.5" diameter holes on soundboard face. Decorative rosette optional.</t>
        </is>
      </c>
    </row>
    <row r="93">
      <c r="A93" t="n">
        <v>8</v>
      </c>
      <c r="B93" t="inlineStr">
        <is>
          <t>Shape soundbox exterior</t>
        </is>
      </c>
      <c r="C93" t="inlineStr">
        <is>
          <t>Profile top/bottom curves on CNC or bandsaw. Sand to final shape.</t>
        </is>
      </c>
    </row>
    <row r="94">
      <c r="A94" t="n">
        <v>9</v>
      </c>
      <c r="B94" t="inlineStr">
        <is>
          <t>Glue ribs to back panel</t>
        </is>
      </c>
      <c r="C94" t="inlineStr">
        <is>
          <t>Kerf-bent or steam-bent sides. Clamp with cauls. Let cure 24hr.</t>
        </is>
      </c>
    </row>
    <row r="95">
      <c r="A95" t="n">
        <v>10</v>
      </c>
      <c r="B95" t="inlineStr">
        <is>
          <t>Fit reinforcing strip</t>
        </is>
      </c>
      <c r="C95" t="inlineStr">
        <is>
          <t>Glue 1/4"×1" hardwood strip inside top edge where strings pull.</t>
        </is>
      </c>
    </row>
    <row r="96">
      <c r="A96" t="n">
        <v>11</v>
      </c>
      <c r="B96" t="inlineStr">
        <is>
          <t>Glue soundboard to ribs</t>
        </is>
      </c>
      <c r="C96" t="inlineStr">
        <is>
          <t>Align string holes, clamp evenly. Critical: no gaps, even pressure.</t>
        </is>
      </c>
    </row>
    <row r="97">
      <c r="A97" s="484" t="inlineStr">
        <is>
          <t>LATHE PILLAR</t>
        </is>
      </c>
    </row>
    <row r="98">
      <c r="A98" t="n">
        <v>12</v>
      </c>
      <c r="B98" t="inlineStr">
        <is>
          <t>Rough-turn pillar blank</t>
        </is>
      </c>
      <c r="C98" t="inlineStr">
        <is>
          <t>3"×3"×48" hardwood. Turn to ~2.5" cylinder, leaving mortise tenons.</t>
        </is>
      </c>
    </row>
    <row r="99">
      <c r="A99" t="n">
        <v>13</v>
      </c>
      <c r="B99" t="inlineStr">
        <is>
          <t>Taper pillar</t>
        </is>
      </c>
      <c r="C99" t="inlineStr">
        <is>
          <t>2.5" at base tapering to 1.75" at top. Decorative rings optional.</t>
        </is>
      </c>
    </row>
    <row r="100">
      <c r="A100" t="n">
        <v>14</v>
      </c>
      <c r="B100" t="inlineStr">
        <is>
          <t>Cut mortise tenons</t>
        </is>
      </c>
      <c r="C100" t="inlineStr">
        <is>
          <t>Square tenons at top (into neck) and bottom (into soundbox foot). Dry-fit.</t>
        </is>
      </c>
    </row>
    <row r="101">
      <c r="A101" t="n">
        <v>15</v>
      </c>
      <c r="B101" t="inlineStr">
        <is>
          <t>Sand &amp; finish pillar</t>
        </is>
      </c>
      <c r="C101" t="inlineStr">
        <is>
          <t>Progressive sand to 400 grit. Apply tung oil or lacquer.</t>
        </is>
      </c>
    </row>
    <row r="102">
      <c r="A102" s="484" t="inlineStr">
        <is>
          <t>CNC NECK</t>
        </is>
      </c>
    </row>
    <row r="103">
      <c r="A103" t="n">
        <v>16</v>
      </c>
      <c r="B103" t="inlineStr">
        <is>
          <t>Laminate neck blank</t>
        </is>
      </c>
      <c r="C103" t="inlineStr">
        <is>
          <t>Glue 3-4 layers of 1/2" hardwood for strength. Clamp flat. Cure 24hr.</t>
        </is>
      </c>
    </row>
    <row r="104">
      <c r="A104" t="n">
        <v>17</v>
      </c>
      <c r="B104" t="inlineStr">
        <is>
          <t>CNC neck profile (top)</t>
        </is>
      </c>
      <c r="C104" t="inlineStr">
        <is>
          <t>Harmonic curve from CAD. Include lever mounting flats.</t>
        </is>
      </c>
    </row>
    <row r="105">
      <c r="A105" t="n">
        <v>18</v>
      </c>
      <c r="B105" t="inlineStr">
        <is>
          <t>CNC neck profile (bottom)</t>
        </is>
      </c>
      <c r="C105" t="inlineStr">
        <is>
          <t>String pin holes at calculated spacing. Channel for steel rod reinforcement.</t>
        </is>
      </c>
    </row>
    <row r="106">
      <c r="A106" t="n">
        <v>19</v>
      </c>
      <c r="B106" t="inlineStr">
        <is>
          <t>Drill tuning pin holes</t>
        </is>
      </c>
      <c r="C106" t="inlineStr">
        <is>
          <t>Tapered reamer or stepped drill. Holes angled ~5° toward soundbox for string break angle.</t>
        </is>
      </c>
    </row>
    <row r="107">
      <c r="A107" t="n">
        <v>20</v>
      </c>
      <c r="B107" t="inlineStr">
        <is>
          <t>Epoxy steel reinforcement rod</t>
        </is>
      </c>
      <c r="C107" t="inlineStr">
        <is>
          <t>1/4" rod in CNC channel on neck underside. Prevents neck flex under load.</t>
        </is>
      </c>
    </row>
    <row r="108">
      <c r="A108" s="484" t="inlineStr">
        <is>
          <t>ASSEMBLY</t>
        </is>
      </c>
    </row>
    <row r="109">
      <c r="A109" t="n">
        <v>21</v>
      </c>
      <c r="B109" t="inlineStr">
        <is>
          <t>Dry-fit all three components</t>
        </is>
      </c>
      <c r="C109" t="inlineStr">
        <is>
          <t>Pillar into soundbox foot, neck onto pillar top and soundbox head. Check angles.</t>
        </is>
      </c>
    </row>
    <row r="110">
      <c r="A110" t="n">
        <v>22</v>
      </c>
      <c r="B110" t="inlineStr">
        <is>
          <t>Glue pillar to soundbox</t>
        </is>
      </c>
      <c r="C110" t="inlineStr">
        <is>
          <t>Mortise joint + epoxy + mechanical pin. This joint bears full string load.</t>
        </is>
      </c>
    </row>
    <row r="111">
      <c r="A111" t="n">
        <v>23</v>
      </c>
      <c r="B111" t="inlineStr">
        <is>
          <t>Glue neck to pillar &amp; soundbox</t>
        </is>
      </c>
      <c r="C111" t="inlineStr">
        <is>
          <t>Both joints: mortise + epoxy + bolt. Critical structural joints.</t>
        </is>
      </c>
    </row>
    <row r="112">
      <c r="A112" t="n">
        <v>24</v>
      </c>
      <c r="B112" t="inlineStr">
        <is>
          <t>Install bridge pins</t>
        </is>
      </c>
      <c r="C112" t="inlineStr">
        <is>
          <t>Glue 34 pins into soundboard holes. Let cure before stringing.</t>
        </is>
      </c>
    </row>
    <row r="113">
      <c r="A113" t="n">
        <v>25</v>
      </c>
      <c r="B113" t="inlineStr">
        <is>
          <t>Install tuning pins</t>
        </is>
      </c>
      <c r="C113" t="inlineStr">
        <is>
          <t>Hammer zither pins into neck holes. Firm fit but turnable with wrench.</t>
        </is>
      </c>
    </row>
    <row r="114">
      <c r="A114" s="484" t="inlineStr">
        <is>
          <t>STRINGING &amp; TUNING</t>
        </is>
      </c>
    </row>
    <row r="115">
      <c r="A115" t="n">
        <v>26</v>
      </c>
      <c r="B115" t="inlineStr">
        <is>
          <t>String bass octave first (C2-B2)</t>
        </is>
      </c>
      <c r="C115" t="inlineStr">
        <is>
          <t>Wound strings. Tie to bridge pin, wrap around tuning pin. Bring to ~half tension.</t>
        </is>
      </c>
    </row>
    <row r="116">
      <c r="A116" t="n">
        <v>27</v>
      </c>
      <c r="B116" t="inlineStr">
        <is>
          <t>String middle octaves (C3-B4)</t>
        </is>
      </c>
      <c r="C116" t="inlineStr">
        <is>
          <t>Continue from bass to treble. Half tension on each.</t>
        </is>
      </c>
    </row>
    <row r="117">
      <c r="A117" t="n">
        <v>28</v>
      </c>
      <c r="B117" t="inlineStr">
        <is>
          <t>String treble octave (C5-A6)</t>
        </is>
      </c>
      <c r="C117" t="inlineStr">
        <is>
          <t>Thin nylon. Careful with thin strings — they break easily if over-tightened.</t>
        </is>
      </c>
    </row>
    <row r="118">
      <c r="A118" t="n">
        <v>29</v>
      </c>
      <c r="B118" t="inlineStr">
        <is>
          <t>Bring all strings to pitch gradually</t>
        </is>
      </c>
      <c r="C118" t="inlineStr">
        <is>
          <t>Multiple passes: 50% → 75% → 90% → 100%. Let settle 48hr between passes.</t>
        </is>
      </c>
    </row>
    <row r="119">
      <c r="A119" t="n">
        <v>30</v>
      </c>
      <c r="B119" t="inlineStr">
        <is>
          <t>Install sharping levers</t>
        </is>
      </c>
      <c r="C119" t="inlineStr">
        <is>
          <t>Loveland or Robinson levers. Align to string, adjust for clean semitone.</t>
        </is>
      </c>
    </row>
    <row r="120">
      <c r="A120" t="n">
        <v>31</v>
      </c>
      <c r="B120" t="inlineStr">
        <is>
          <t>Fine-tune with tuner</t>
        </is>
      </c>
      <c r="C120" t="inlineStr">
        <is>
          <t>Use chromatic tuner. Start from middle C, work outward. Re-tune daily for 2 weeks.</t>
        </is>
      </c>
    </row>
    <row r="121">
      <c r="A121" t="n">
        <v>32</v>
      </c>
      <c r="B121" t="inlineStr">
        <is>
          <t>Final setup &amp; inspection</t>
        </is>
      </c>
      <c r="C121" t="inlineStr">
        <is>
          <t>Check all joints for stress cracks. Verify lever action. Apply touch-up finish.</t>
        </is>
      </c>
    </row>
    <row r="124" ht="15.75" customHeight="1" s="817">
      <c r="A124" s="667" t="inlineStr">
        <is>
          <t>HARP SIZE VARIANTS — Quick Reference</t>
        </is>
      </c>
    </row>
    <row r="126">
      <c r="A126" s="486" t="inlineStr">
        <is>
          <t>Parameter</t>
        </is>
      </c>
      <c r="B126" s="486" t="inlineStr">
        <is>
          <t>Lap Harp</t>
        </is>
      </c>
      <c r="C126" s="486" t="inlineStr">
        <is>
          <t>Therapy Harp</t>
        </is>
      </c>
      <c r="D126" s="486" t="inlineStr">
        <is>
          <t>Small Floor</t>
        </is>
      </c>
      <c r="E126" s="486" t="inlineStr">
        <is>
          <t>Full Floor (above)</t>
        </is>
      </c>
    </row>
    <row r="127">
      <c r="A127" s="472" t="inlineStr">
        <is>
          <t>Strings</t>
        </is>
      </c>
      <c r="B127" t="n">
        <v>19</v>
      </c>
      <c r="C127" t="n">
        <v>26</v>
      </c>
      <c r="D127" t="n">
        <v>32</v>
      </c>
      <c r="E127" t="n">
        <v>34</v>
      </c>
    </row>
    <row r="128">
      <c r="A128" s="472" t="inlineStr">
        <is>
          <t>Range</t>
        </is>
      </c>
      <c r="B128" t="inlineStr">
        <is>
          <t>C4–A6 (2.5 oct)</t>
        </is>
      </c>
      <c r="C128" t="inlineStr">
        <is>
          <t>G2–A5 (3 oct)</t>
        </is>
      </c>
      <c r="D128" t="inlineStr">
        <is>
          <t>C2–A5 (3.5 oct)</t>
        </is>
      </c>
      <c r="E128" t="inlineStr">
        <is>
          <t>C2–A6 (5 oct)</t>
        </is>
      </c>
    </row>
    <row r="129">
      <c r="A129" s="472" t="inlineStr">
        <is>
          <t>Height</t>
        </is>
      </c>
      <c r="B129" t="inlineStr">
        <is>
          <t>~24" (61cm)</t>
        </is>
      </c>
      <c r="C129" t="inlineStr">
        <is>
          <t>~34" (86cm)</t>
        </is>
      </c>
      <c r="D129" t="inlineStr">
        <is>
          <t>~44" (112cm)</t>
        </is>
      </c>
      <c r="E129" t="inlineStr">
        <is>
          <t>~52" (132cm)</t>
        </is>
      </c>
    </row>
    <row r="130">
      <c r="A130" s="472" t="inlineStr">
        <is>
          <t>Longest String</t>
        </is>
      </c>
      <c r="B130" t="inlineStr">
        <is>
          <t>~24"</t>
        </is>
      </c>
      <c r="C130" t="inlineStr">
        <is>
          <t>~36"</t>
        </is>
      </c>
      <c r="D130" t="inlineStr">
        <is>
          <t>~45"</t>
        </is>
      </c>
      <c r="E130" t="inlineStr">
        <is>
          <t>~49"</t>
        </is>
      </c>
    </row>
    <row r="131">
      <c r="A131" s="472" t="inlineStr">
        <is>
          <t>Shortest String</t>
        </is>
      </c>
      <c r="B131" t="inlineStr">
        <is>
          <t>~4"</t>
        </is>
      </c>
      <c r="C131" t="inlineStr">
        <is>
          <t>~5"</t>
        </is>
      </c>
      <c r="D131" t="inlineStr">
        <is>
          <t>~5"</t>
        </is>
      </c>
      <c r="E131" t="inlineStr">
        <is>
          <t>~4"</t>
        </is>
      </c>
    </row>
    <row r="132">
      <c r="A132" s="472" t="inlineStr">
        <is>
          <t>Total String Load</t>
        </is>
      </c>
      <c r="B132" t="inlineStr">
        <is>
          <t>~180 lbs</t>
        </is>
      </c>
      <c r="C132" t="inlineStr">
        <is>
          <t>~300 lbs</t>
        </is>
      </c>
      <c r="D132" t="inlineStr">
        <is>
          <t>~400 lbs</t>
        </is>
      </c>
      <c r="E132" t="inlineStr">
        <is>
          <t>~442 lbs</t>
        </is>
      </c>
    </row>
    <row r="133">
      <c r="A133" s="472" t="inlineStr">
        <is>
          <t>Nylon Mono Strings</t>
        </is>
      </c>
      <c r="B133" t="inlineStr">
        <is>
          <t>All 19</t>
        </is>
      </c>
      <c r="C133" t="inlineStr">
        <is>
          <t>Strings 1–20</t>
        </is>
      </c>
      <c r="D133" t="inlineStr">
        <is>
          <t>Strings 1–24</t>
        </is>
      </c>
      <c r="E133" t="inlineStr">
        <is>
          <t>Strings 1–24</t>
        </is>
      </c>
    </row>
    <row r="134">
      <c r="A134" s="472" t="inlineStr">
        <is>
          <t>Wound Strings</t>
        </is>
      </c>
      <c r="B134" t="inlineStr">
        <is>
          <t>None</t>
        </is>
      </c>
      <c r="C134" t="inlineStr">
        <is>
          <t>Strings 21–26</t>
        </is>
      </c>
      <c r="D134" t="inlineStr">
        <is>
          <t>Strings 25–32</t>
        </is>
      </c>
      <c r="E134" t="inlineStr">
        <is>
          <t>Strings 25–34</t>
        </is>
      </c>
    </row>
    <row r="135">
      <c r="A135" s="472" t="inlineStr">
        <is>
          <t>Sharping Levers</t>
        </is>
      </c>
      <c r="B135" t="inlineStr">
        <is>
          <t>Optional (19)</t>
        </is>
      </c>
      <c r="C135" t="inlineStr">
        <is>
          <t>Recommended (26)</t>
        </is>
      </c>
      <c r="D135" t="inlineStr">
        <is>
          <t>Yes (32)</t>
        </is>
      </c>
      <c r="E135" t="inlineStr">
        <is>
          <t>Yes (34)</t>
        </is>
      </c>
    </row>
    <row r="136">
      <c r="A136" s="472" t="inlineStr">
        <is>
          <t>Pillar (Column)</t>
        </is>
      </c>
      <c r="B136" t="inlineStr">
        <is>
          <t>None — open frame</t>
        </is>
      </c>
      <c r="C136" t="inlineStr">
        <is>
          <t>Lathe-turned, 1.75" Ø</t>
        </is>
      </c>
      <c r="D136" t="inlineStr">
        <is>
          <t>Lathe-turned, 2" Ø</t>
        </is>
      </c>
      <c r="E136" t="inlineStr">
        <is>
          <t>Lathe-turned, 2.5" Ø</t>
        </is>
      </c>
    </row>
    <row r="137">
      <c r="A137" s="472" t="inlineStr">
        <is>
          <t>Soundbox Width</t>
        </is>
      </c>
      <c r="B137" t="inlineStr">
        <is>
          <t>5"</t>
        </is>
      </c>
      <c r="C137" t="inlineStr">
        <is>
          <t>6"</t>
        </is>
      </c>
      <c r="D137" t="inlineStr">
        <is>
          <t>7"</t>
        </is>
      </c>
      <c r="E137" t="inlineStr">
        <is>
          <t>8"</t>
        </is>
      </c>
    </row>
    <row r="138">
      <c r="A138" s="472" t="inlineStr">
        <is>
          <t>Soundbox Depth</t>
        </is>
      </c>
      <c r="B138" t="inlineStr">
        <is>
          <t>3"</t>
        </is>
      </c>
      <c r="C138" t="inlineStr">
        <is>
          <t>3.5"</t>
        </is>
      </c>
      <c r="D138" t="inlineStr">
        <is>
          <t>4"</t>
        </is>
      </c>
      <c r="E138" t="inlineStr">
        <is>
          <t>4.5"</t>
        </is>
      </c>
    </row>
    <row r="139">
      <c r="A139" s="472" t="inlineStr">
        <is>
          <t>Soundboard Thickness</t>
        </is>
      </c>
      <c r="B139" t="inlineStr">
        <is>
          <t>3/16"</t>
        </is>
      </c>
      <c r="C139" t="inlineStr">
        <is>
          <t>1/4"</t>
        </is>
      </c>
      <c r="D139" t="inlineStr">
        <is>
          <t>5/16"</t>
        </is>
      </c>
      <c r="E139" t="inlineStr">
        <is>
          <t>3/8"</t>
        </is>
      </c>
    </row>
    <row r="140">
      <c r="A140" s="472" t="inlineStr">
        <is>
          <t>Neck Steel Rod</t>
        </is>
      </c>
      <c r="B140" t="inlineStr">
        <is>
          <t>None</t>
        </is>
      </c>
      <c r="C140" t="inlineStr">
        <is>
          <t>3/8" × 30"</t>
        </is>
      </c>
      <c r="D140" t="inlineStr">
        <is>
          <t>1/2" × 38"</t>
        </is>
      </c>
      <c r="E140" t="inlineStr">
        <is>
          <t>1/2" × 48"</t>
        </is>
      </c>
    </row>
    <row r="141">
      <c r="A141" s="472" t="inlineStr">
        <is>
          <t>CNC Soundbox</t>
        </is>
      </c>
      <c r="B141" t="inlineStr">
        <is>
          <t>Single piece</t>
        </is>
      </c>
      <c r="C141" t="inlineStr">
        <is>
          <t>2-piece glue-up</t>
        </is>
      </c>
      <c r="D141" t="inlineStr">
        <is>
          <t>3-piece glue-up</t>
        </is>
      </c>
      <c r="E141" t="inlineStr">
        <is>
          <t>3-piece glue-up</t>
        </is>
      </c>
    </row>
    <row r="142">
      <c r="A142" s="472" t="inlineStr">
        <is>
          <t>Portability</t>
        </is>
      </c>
      <c r="B142" t="inlineStr">
        <is>
          <t>★★★★★ Carry bag</t>
        </is>
      </c>
      <c r="C142" t="inlineStr">
        <is>
          <t>★★★★ Carry case</t>
        </is>
      </c>
      <c r="D142" t="inlineStr">
        <is>
          <t>★★★ Stand included</t>
        </is>
      </c>
      <c r="E142" t="inlineStr">
        <is>
          <t>★★ Heavy, stand req'd</t>
        </is>
      </c>
    </row>
    <row r="143">
      <c r="A143" s="472" t="inlineStr">
        <is>
          <t>Build Difficulty</t>
        </is>
      </c>
      <c r="B143" t="inlineStr">
        <is>
          <t>★★ Beginner</t>
        </is>
      </c>
      <c r="C143" t="inlineStr">
        <is>
          <t>★★★ Intermediate</t>
        </is>
      </c>
      <c r="D143" t="inlineStr">
        <is>
          <t>★★★★ Advanced</t>
        </is>
      </c>
      <c r="E143" t="inlineStr">
        <is>
          <t>★★★★★ Expert</t>
        </is>
      </c>
    </row>
    <row r="144">
      <c r="A144" s="472" t="inlineStr">
        <is>
          <t>Estimated Cost</t>
        </is>
      </c>
      <c r="B144" t="inlineStr">
        <is>
          <t>$150–250</t>
        </is>
      </c>
      <c r="C144" t="inlineStr">
        <is>
          <t>$250–400</t>
        </is>
      </c>
      <c r="D144" t="inlineStr">
        <is>
          <t>$400–600</t>
        </is>
      </c>
      <c r="E144" t="inlineStr">
        <is>
          <t>$600–900</t>
        </is>
      </c>
    </row>
    <row r="145">
      <c r="A145" s="472" t="inlineStr">
        <is>
          <t>Maker Nexus Kit?</t>
        </is>
      </c>
      <c r="B145" t="inlineStr">
        <is>
          <t>★★★★★ Ideal kit!</t>
        </is>
      </c>
      <c r="C145" t="inlineStr">
        <is>
          <t>★★★★ Good kit</t>
        </is>
      </c>
      <c r="D145" t="inlineStr">
        <is>
          <t>★★★ Possible</t>
        </is>
      </c>
      <c r="E145" t="inlineStr">
        <is>
          <t>★★ Solo project</t>
        </is>
      </c>
    </row>
    <row r="148" ht="15" customHeight="1" s="817">
      <c r="A148" s="599" t="inlineStr">
        <is>
          <t>LAP HARP — 19-String Schedule (C4–A6)</t>
        </is>
      </c>
    </row>
    <row r="149">
      <c r="A149" s="472" t="inlineStr">
        <is>
          <t>#</t>
        </is>
      </c>
      <c r="B149" s="472" t="inlineStr">
        <is>
          <t>Note</t>
        </is>
      </c>
      <c r="C149" s="472" t="inlineStr">
        <is>
          <t>Freq (Hz)</t>
        </is>
      </c>
      <c r="D149" s="472" t="inlineStr">
        <is>
          <t>Vib Length (in)</t>
        </is>
      </c>
      <c r="E149" s="472" t="inlineStr">
        <is>
          <t>Gauge (mils)</t>
        </is>
      </c>
      <c r="F149" s="472" t="inlineStr">
        <is>
          <t>Tension (lbs)</t>
        </is>
      </c>
      <c r="G149" s="472" t="inlineStr">
        <is>
          <t>%Breaking</t>
        </is>
      </c>
      <c r="H149" s="472" t="inlineStr">
        <is>
          <t>Type</t>
        </is>
      </c>
    </row>
    <row r="150">
      <c r="A150" t="n">
        <v>1</v>
      </c>
      <c r="B150" t="inlineStr">
        <is>
          <t>G6</t>
        </is>
      </c>
      <c r="C150" s="481">
        <f>440*2^((91-69)/12)</f>
        <v/>
      </c>
      <c r="D150" s="565" t="n">
        <v>4</v>
      </c>
      <c r="E150" s="481">
        <f>2*SQRT(8.3*386.4/(0.04155*PI()*4*D150^2*C150^2))*1000</f>
        <v/>
      </c>
      <c r="F150" s="481">
        <f>0.04155*PI()*(E150/2000)^2*4*D150^2*C150^2/386.4</f>
        <v/>
      </c>
      <c r="G150" s="702">
        <f>0.04155*4*D150^2*C150^2/(44600*386.4)*100</f>
        <v/>
      </c>
      <c r="H150" t="inlineStr">
        <is>
          <t>Nylon</t>
        </is>
      </c>
    </row>
    <row r="151">
      <c r="A151" t="n">
        <v>2</v>
      </c>
      <c r="B151" t="inlineStr">
        <is>
          <t>F6</t>
        </is>
      </c>
      <c r="C151" s="481">
        <f>440*2^((89-69)/12)</f>
        <v/>
      </c>
      <c r="D151" s="565" t="n">
        <v>5.1</v>
      </c>
      <c r="E151" s="481">
        <f>2*SQRT(8.6*386.4/(0.04155*PI()*4*D151^2*C151^2))*1000</f>
        <v/>
      </c>
      <c r="F151" s="481">
        <f>0.04155*PI()*(E151/2000)^2*4*D151^2*C151^2/386.4</f>
        <v/>
      </c>
      <c r="G151" s="702">
        <f>0.04155*4*D151^2*C151^2/(44600*386.4)*100</f>
        <v/>
      </c>
      <c r="H151" t="inlineStr">
        <is>
          <t>Nylon</t>
        </is>
      </c>
    </row>
    <row r="152">
      <c r="A152" t="n">
        <v>3</v>
      </c>
      <c r="B152" t="inlineStr">
        <is>
          <t>E6</t>
        </is>
      </c>
      <c r="C152" s="481">
        <f>440*2^((88-69)/12)</f>
        <v/>
      </c>
      <c r="D152" s="565" t="n">
        <v>6.2</v>
      </c>
      <c r="E152" s="481">
        <f>2*SQRT(8.9*386.4/(0.04155*PI()*4*D152^2*C152^2))*1000</f>
        <v/>
      </c>
      <c r="F152" s="481">
        <f>0.04155*PI()*(E152/2000)^2*4*D152^2*C152^2/386.4</f>
        <v/>
      </c>
      <c r="G152" s="702">
        <f>0.04155*4*D152^2*C152^2/(44600*386.4)*100</f>
        <v/>
      </c>
      <c r="H152" t="inlineStr">
        <is>
          <t>Nylon</t>
        </is>
      </c>
    </row>
    <row r="153">
      <c r="A153" t="n">
        <v>4</v>
      </c>
      <c r="B153" t="inlineStr">
        <is>
          <t>D6</t>
        </is>
      </c>
      <c r="C153" s="481">
        <f>440*2^((86-69)/12)</f>
        <v/>
      </c>
      <c r="D153" s="565" t="n">
        <v>7.3</v>
      </c>
      <c r="E153" s="481">
        <f>2*SQRT(9.2*386.4/(0.04155*PI()*4*D153^2*C153^2))*1000</f>
        <v/>
      </c>
      <c r="F153" s="481">
        <f>0.04155*PI()*(E153/2000)^2*4*D153^2*C153^2/386.4</f>
        <v/>
      </c>
      <c r="G153" s="702">
        <f>0.04155*4*D153^2*C153^2/(44600*386.4)*100</f>
        <v/>
      </c>
      <c r="H153" t="inlineStr">
        <is>
          <t>Nylon</t>
        </is>
      </c>
    </row>
    <row r="154">
      <c r="A154" t="n">
        <v>5</v>
      </c>
      <c r="B154" t="inlineStr">
        <is>
          <t>C6</t>
        </is>
      </c>
      <c r="C154" s="481">
        <f>440*2^((84-69)/12)</f>
        <v/>
      </c>
      <c r="D154" s="565" t="n">
        <v>8.4</v>
      </c>
      <c r="E154" s="481">
        <f>2*SQRT(9.5*386.4/(0.04155*PI()*4*D154^2*C154^2))*1000</f>
        <v/>
      </c>
      <c r="F154" s="481">
        <f>0.04155*PI()*(E154/2000)^2*4*D154^2*C154^2/386.4</f>
        <v/>
      </c>
      <c r="G154" s="702">
        <f>0.04155*4*D154^2*C154^2/(44600*386.4)*100</f>
        <v/>
      </c>
      <c r="H154" t="inlineStr">
        <is>
          <t>Nylon</t>
        </is>
      </c>
    </row>
    <row r="155">
      <c r="A155" t="n">
        <v>6</v>
      </c>
      <c r="B155" t="inlineStr">
        <is>
          <t>B5</t>
        </is>
      </c>
      <c r="C155" s="481">
        <f>440*2^((83-69)/12)</f>
        <v/>
      </c>
      <c r="D155" s="565" t="n">
        <v>9.6</v>
      </c>
      <c r="E155" s="481">
        <f>2*SQRT(9.8*386.4/(0.04155*PI()*4*D155^2*C155^2))*1000</f>
        <v/>
      </c>
      <c r="F155" s="481">
        <f>0.04155*PI()*(E155/2000)^2*4*D155^2*C155^2/386.4</f>
        <v/>
      </c>
      <c r="G155" s="702">
        <f>0.04155*4*D155^2*C155^2/(44600*386.4)*100</f>
        <v/>
      </c>
      <c r="H155" t="inlineStr">
        <is>
          <t>Nylon</t>
        </is>
      </c>
    </row>
    <row r="156">
      <c r="A156" t="n">
        <v>7</v>
      </c>
      <c r="B156" t="inlineStr">
        <is>
          <t>A5</t>
        </is>
      </c>
      <c r="C156" s="481">
        <f>440*2^((81-69)/12)</f>
        <v/>
      </c>
      <c r="D156" s="565" t="n">
        <v>10.7</v>
      </c>
      <c r="E156" s="481">
        <f>2*SQRT(10.1*386.4/(0.04155*PI()*4*D156^2*C156^2))*1000</f>
        <v/>
      </c>
      <c r="F156" s="481">
        <f>0.04155*PI()*(E156/2000)^2*4*D156^2*C156^2/386.4</f>
        <v/>
      </c>
      <c r="G156" s="702">
        <f>0.04155*4*D156^2*C156^2/(44600*386.4)*100</f>
        <v/>
      </c>
      <c r="H156" t="inlineStr">
        <is>
          <t>Nylon</t>
        </is>
      </c>
    </row>
    <row r="157">
      <c r="A157" t="n">
        <v>8</v>
      </c>
      <c r="B157" t="inlineStr">
        <is>
          <t>G5</t>
        </is>
      </c>
      <c r="C157" s="481">
        <f>440*2^((79-69)/12)</f>
        <v/>
      </c>
      <c r="D157" s="565" t="n">
        <v>11.8</v>
      </c>
      <c r="E157" s="481">
        <f>2*SQRT(10.4*386.4/(0.04155*PI()*4*D157^2*C157^2))*1000</f>
        <v/>
      </c>
      <c r="F157" s="481">
        <f>0.04155*PI()*(E157/2000)^2*4*D157^2*C157^2/386.4</f>
        <v/>
      </c>
      <c r="G157" s="702">
        <f>0.04155*4*D157^2*C157^2/(44600*386.4)*100</f>
        <v/>
      </c>
      <c r="H157" t="inlineStr">
        <is>
          <t>Nylon</t>
        </is>
      </c>
    </row>
    <row r="158">
      <c r="A158" t="n">
        <v>9</v>
      </c>
      <c r="B158" t="inlineStr">
        <is>
          <t>F5</t>
        </is>
      </c>
      <c r="C158" s="481">
        <f>440*2^((77-69)/12)</f>
        <v/>
      </c>
      <c r="D158" s="565" t="n">
        <v>12.9</v>
      </c>
      <c r="E158" s="481">
        <f>2*SQRT(10.7*386.4/(0.04155*PI()*4*D158^2*C158^2))*1000</f>
        <v/>
      </c>
      <c r="F158" s="481">
        <f>0.04155*PI()*(E158/2000)^2*4*D158^2*C158^2/386.4</f>
        <v/>
      </c>
      <c r="G158" s="702">
        <f>0.04155*4*D158^2*C158^2/(44600*386.4)*100</f>
        <v/>
      </c>
      <c r="H158" t="inlineStr">
        <is>
          <t>Nylon</t>
        </is>
      </c>
    </row>
    <row r="159">
      <c r="A159" t="n">
        <v>10</v>
      </c>
      <c r="B159" t="inlineStr">
        <is>
          <t>E5</t>
        </is>
      </c>
      <c r="C159" s="481">
        <f>440*2^((76-69)/12)</f>
        <v/>
      </c>
      <c r="D159" s="565" t="n">
        <v>14</v>
      </c>
      <c r="E159" s="481">
        <f>2*SQRT(11*386.4/(0.04155*PI()*4*D159^2*C159^2))*1000</f>
        <v/>
      </c>
      <c r="F159" s="481">
        <f>0.04155*PI()*(E159/2000)^2*4*D159^2*C159^2/386.4</f>
        <v/>
      </c>
      <c r="G159" s="702">
        <f>0.04155*4*D159^2*C159^2/(44600*386.4)*100</f>
        <v/>
      </c>
      <c r="H159" t="inlineStr">
        <is>
          <t>Nylon</t>
        </is>
      </c>
    </row>
    <row r="160">
      <c r="A160" t="n">
        <v>11</v>
      </c>
      <c r="B160" t="inlineStr">
        <is>
          <t>D5</t>
        </is>
      </c>
      <c r="C160" s="481">
        <f>440*2^((74-69)/12)</f>
        <v/>
      </c>
      <c r="D160" s="565" t="n">
        <v>15.1</v>
      </c>
      <c r="E160" s="481">
        <f>2*SQRT(11.3*386.4/(0.04155*PI()*4*D160^2*C160^2))*1000</f>
        <v/>
      </c>
      <c r="F160" s="481">
        <f>0.04155*PI()*(E160/2000)^2*4*D160^2*C160^2/386.4</f>
        <v/>
      </c>
      <c r="G160" s="702">
        <f>0.04155*4*D160^2*C160^2/(44600*386.4)*100</f>
        <v/>
      </c>
      <c r="H160" t="inlineStr">
        <is>
          <t>Nylon</t>
        </is>
      </c>
    </row>
    <row r="161">
      <c r="A161" t="n">
        <v>12</v>
      </c>
      <c r="B161" t="inlineStr">
        <is>
          <t>C5</t>
        </is>
      </c>
      <c r="C161" s="481">
        <f>440*2^((72-69)/12)</f>
        <v/>
      </c>
      <c r="D161" s="565" t="n">
        <v>16.2</v>
      </c>
      <c r="E161" s="481">
        <f>2*SQRT(11.6*386.4/(0.04155*PI()*4*D161^2*C161^2))*1000</f>
        <v/>
      </c>
      <c r="F161" s="481">
        <f>0.04155*PI()*(E161/2000)^2*4*D161^2*C161^2/386.4</f>
        <v/>
      </c>
      <c r="G161" s="702">
        <f>0.04155*4*D161^2*C161^2/(44600*386.4)*100</f>
        <v/>
      </c>
      <c r="H161" t="inlineStr">
        <is>
          <t>Nylon</t>
        </is>
      </c>
    </row>
    <row r="162">
      <c r="A162" t="n">
        <v>13</v>
      </c>
      <c r="B162" t="inlineStr">
        <is>
          <t>B4</t>
        </is>
      </c>
      <c r="C162" s="481">
        <f>440*2^((71-69)/12)</f>
        <v/>
      </c>
      <c r="D162" s="565" t="n">
        <v>17.3</v>
      </c>
      <c r="E162" s="481">
        <f>2*SQRT(11.9*386.4/(0.04155*PI()*4*D162^2*C162^2))*1000</f>
        <v/>
      </c>
      <c r="F162" s="481">
        <f>0.04155*PI()*(E162/2000)^2*4*D162^2*C162^2/386.4</f>
        <v/>
      </c>
      <c r="G162" s="702">
        <f>0.04155*4*D162^2*C162^2/(44600*386.4)*100</f>
        <v/>
      </c>
      <c r="H162" t="inlineStr">
        <is>
          <t>Nylon</t>
        </is>
      </c>
    </row>
    <row r="163">
      <c r="A163" t="n">
        <v>14</v>
      </c>
      <c r="B163" t="inlineStr">
        <is>
          <t>A4</t>
        </is>
      </c>
      <c r="C163" s="481">
        <f>440*2^((69-69)/12)</f>
        <v/>
      </c>
      <c r="D163" s="565" t="n">
        <v>18.4</v>
      </c>
      <c r="E163" s="481">
        <f>2*SQRT(12.2*386.4/(0.04155*PI()*4*D163^2*C163^2))*1000</f>
        <v/>
      </c>
      <c r="F163" s="481">
        <f>0.04155*PI()*(E163/2000)^2*4*D163^2*C163^2/386.4</f>
        <v/>
      </c>
      <c r="G163" s="702">
        <f>0.04155*4*D163^2*C163^2/(44600*386.4)*100</f>
        <v/>
      </c>
      <c r="H163" t="inlineStr">
        <is>
          <t>Nylon</t>
        </is>
      </c>
    </row>
    <row r="164">
      <c r="A164" t="n">
        <v>15</v>
      </c>
      <c r="B164" t="inlineStr">
        <is>
          <t>G4</t>
        </is>
      </c>
      <c r="C164" s="481">
        <f>440*2^((67-69)/12)</f>
        <v/>
      </c>
      <c r="D164" s="565" t="n">
        <v>19.6</v>
      </c>
      <c r="E164" s="481">
        <f>2*SQRT(12.5*386.4/(0.04155*PI()*4*D164^2*C164^2))*1000</f>
        <v/>
      </c>
      <c r="F164" s="481">
        <f>0.04155*PI()*(E164/2000)^2*4*D164^2*C164^2/386.4</f>
        <v/>
      </c>
      <c r="G164" s="702">
        <f>0.04155*4*D164^2*C164^2/(44600*386.4)*100</f>
        <v/>
      </c>
      <c r="H164" t="inlineStr">
        <is>
          <t>Nylon</t>
        </is>
      </c>
    </row>
    <row r="165">
      <c r="A165" t="n">
        <v>16</v>
      </c>
      <c r="B165" t="inlineStr">
        <is>
          <t>F4</t>
        </is>
      </c>
      <c r="C165" s="481">
        <f>440*2^((65-69)/12)</f>
        <v/>
      </c>
      <c r="D165" s="565" t="n">
        <v>20.7</v>
      </c>
      <c r="E165" s="481">
        <f>2*SQRT(12.8*386.4/(0.04155*PI()*4*D165^2*C165^2))*1000</f>
        <v/>
      </c>
      <c r="F165" s="481">
        <f>0.04155*PI()*(E165/2000)^2*4*D165^2*C165^2/386.4</f>
        <v/>
      </c>
      <c r="G165" s="702">
        <f>0.04155*4*D165^2*C165^2/(44600*386.4)*100</f>
        <v/>
      </c>
      <c r="H165" t="inlineStr">
        <is>
          <t>Nylon</t>
        </is>
      </c>
    </row>
    <row r="166">
      <c r="A166" t="n">
        <v>17</v>
      </c>
      <c r="B166" t="inlineStr">
        <is>
          <t>E4</t>
        </is>
      </c>
      <c r="C166" s="481">
        <f>440*2^((64-69)/12)</f>
        <v/>
      </c>
      <c r="D166" s="565" t="n">
        <v>21.8</v>
      </c>
      <c r="E166" s="481">
        <f>2*SQRT(13.1*386.4/(0.04155*PI()*4*D166^2*C166^2))*1000</f>
        <v/>
      </c>
      <c r="F166" s="481">
        <f>0.04155*PI()*(E166/2000)^2*4*D166^2*C166^2/386.4</f>
        <v/>
      </c>
      <c r="G166" s="702">
        <f>0.04155*4*D166^2*C166^2/(44600*386.4)*100</f>
        <v/>
      </c>
      <c r="H166" t="inlineStr">
        <is>
          <t>Nylon</t>
        </is>
      </c>
    </row>
    <row r="167">
      <c r="A167" t="n">
        <v>18</v>
      </c>
      <c r="B167" t="inlineStr">
        <is>
          <t>D4</t>
        </is>
      </c>
      <c r="C167" s="481">
        <f>440*2^((62-69)/12)</f>
        <v/>
      </c>
      <c r="D167" s="565" t="n">
        <v>22.9</v>
      </c>
      <c r="E167" s="481">
        <f>2*SQRT(13.4*386.4/(0.04155*PI()*4*D167^2*C167^2))*1000</f>
        <v/>
      </c>
      <c r="F167" s="481">
        <f>0.04155*PI()*(E167/2000)^2*4*D167^2*C167^2/386.4</f>
        <v/>
      </c>
      <c r="G167" s="702">
        <f>0.04155*4*D167^2*C167^2/(44600*386.4)*100</f>
        <v/>
      </c>
      <c r="H167" t="inlineStr">
        <is>
          <t>Nylon</t>
        </is>
      </c>
    </row>
    <row r="168">
      <c r="A168" t="n">
        <v>19</v>
      </c>
      <c r="B168" t="inlineStr">
        <is>
          <t>C4</t>
        </is>
      </c>
      <c r="C168" s="481">
        <f>440*2^((60-69)/12)</f>
        <v/>
      </c>
      <c r="D168" s="565" t="n">
        <v>24</v>
      </c>
      <c r="E168" s="481">
        <f>2*SQRT(13.7*386.4/(0.04155*PI()*4*D168^2*C168^2))*1000</f>
        <v/>
      </c>
      <c r="F168" s="481">
        <f>0.04155*PI()*(E168/2000)^2*4*D168^2*C168^2/386.4</f>
        <v/>
      </c>
      <c r="G168" s="702">
        <f>0.04155*4*D168^2*C168^2/(44600*386.4)*100</f>
        <v/>
      </c>
      <c r="H168" t="inlineStr">
        <is>
          <t>Nylon</t>
        </is>
      </c>
    </row>
    <row r="169">
      <c r="A169" s="472" t="inlineStr">
        <is>
          <t>TOTAL</t>
        </is>
      </c>
      <c r="F169" s="707">
        <f>SUM(F150:F168)</f>
        <v/>
      </c>
    </row>
    <row r="172" ht="18" customHeight="1" s="817">
      <c r="A172" s="802" t="inlineStr">
        <is>
          <t>WOLFRAM CLOUD NOTEBOOK SPEC — FLOOR HARP</t>
        </is>
      </c>
    </row>
    <row r="173">
      <c r="A173" s="734" t="inlineStr">
        <is>
          <t>34-string diatonic floor harp + 19-string lap harp variant — Mersenne–Taylor across full 4½-octave range.</t>
        </is>
      </c>
    </row>
    <row r="175">
      <c r="A175" s="609" t="inlineStr">
        <is>
          <t>§1 — HISTORY, ETYMOLOGY &amp; ORIGIN</t>
        </is>
      </c>
    </row>
    <row r="176">
      <c r="A176" t="inlineStr">
        <is>
          <t>Harp lineage stretches to ~3000 BCE Sumer (bow harp), Egyptian arched harps, medieval European frame harps, Celtic/Gaelic clàrsach (wire-strung, ~10th c.), modern pedal harp (Hochbrucker single-action ~1720, Erard double-action 1810).</t>
        </is>
      </c>
    </row>
    <row r="177">
      <c r="A177" s="759" t="inlineStr">
        <is>
          <t>Harp' from Old English 'hearpe' / Old Norse 'harpa' — likely 'plucker'. Floor / Celtic / lever harp = no pedals, levers per string for half-step changes.</t>
        </is>
      </c>
    </row>
    <row r="178">
      <c r="A178" t="inlineStr">
        <is>
          <t>Geographic spread: Mesopotamia → Egypt → Greece (kithara) → Rome → medieval Europe; parallel African line (kora, ardin) shares the harp-lute family.</t>
        </is>
      </c>
    </row>
    <row r="179">
      <c r="A179" t="inlineStr">
        <is>
          <t>Wolfram items: GeoGraphics with TimelinePlot[{-3000,-1500,1000,1720,1810}→{Sumer,Egypt,Celtic,Hochbrucker,Erard}]; Entity["MusicalInstrument","Harp"].</t>
        </is>
      </c>
    </row>
    <row r="181">
      <c r="A181" s="609" t="inlineStr">
        <is>
          <t>§2 — PHYSICS &amp; ACOUSTICS</t>
        </is>
      </c>
    </row>
    <row r="182">
      <c r="A182" t="inlineStr">
        <is>
          <t>Mersenne–Taylor: f = (1/2L)·√(T/μ). 34 strings spanning ~4.5 octaves → string lengths from ~6" (treble) to ~50" (bass). Bass uses wound strings to keep length manageable.</t>
        </is>
      </c>
    </row>
    <row r="183">
      <c r="A183" t="inlineStr">
        <is>
          <t>Stiffness inharmonicity: B = π² E I / (T L²). Fattest bass strings have B → stretched harmonics; thin treble nylon → negligible.</t>
        </is>
      </c>
    </row>
    <row r="184">
      <c r="A184" t="inlineStr">
        <is>
          <t>Soundbox = forced-driven membrane + box mode coupling. Treat as box-resonator with primary modes from BesselJZero (top plate) + Helmholtz contribution from sound holes.</t>
        </is>
      </c>
    </row>
    <row r="185">
      <c r="A185" t="inlineStr">
        <is>
          <t>String-soundboard coupling: bridge transmits string force into top plate → plate motion radiates. Q of plate sets sustain; under-coupled → thin tone, over-coupled → muddy/short.</t>
        </is>
      </c>
    </row>
    <row r="186">
      <c r="A186" t="inlineStr">
        <is>
          <t>Wolfram functions: NDSolve damped wave eq for string; Eigensystem for plate modes; PowerSpectralDensity, Periodogram for measured plucks; NonlinearModelFit for B and τ.</t>
        </is>
      </c>
    </row>
    <row r="188">
      <c r="A188" s="609" t="inlineStr">
        <is>
          <t>§3 — GEOMETRY &amp; DESIGN MODEL</t>
        </is>
      </c>
    </row>
    <row r="189">
      <c r="A189" t="inlineStr">
        <is>
          <t>Triangular frame: pillar (vertical column), neck (curved upper diagonal carrying tuning pins), soundbox (lower diagonal containing the strings' bridge anchors). Curvature of neck sets per-string vibrating length.</t>
        </is>
      </c>
    </row>
    <row r="190">
      <c r="A190" t="inlineStr">
        <is>
          <t>Soundbox: trapezoidal staved or plywood-laminated. Top plate (soundboard) ≈ 3–4 mm spruce or cedar; back/sides ≈ 6–8 mm hardwood. Sound holes on back, not front.</t>
        </is>
      </c>
    </row>
    <row r="191">
      <c r="A191" t="inlineStr">
        <is>
          <t>Lap harp variant: same physics, shorter scales, 19 strings. Use this sheet's lap-harp section.</t>
        </is>
      </c>
    </row>
    <row r="192">
      <c r="A192" t="inlineStr">
        <is>
          <t>Wolfram items: ParametricPlot3D for full frame; Manipulate sliders for neck_curve, pillar_height, box_taper; live recompute of all 34 string lengths; Graphics3D exploded view (frame, soundboard, back, strings, levers).</t>
        </is>
      </c>
    </row>
    <row r="194">
      <c r="A194" s="609" t="inlineStr">
        <is>
          <t>§4 — MATERIALS &amp; CORRECTIONS</t>
        </is>
      </c>
    </row>
    <row r="195">
      <c r="A195" t="inlineStr">
        <is>
          <t>Strings: nylon (treble/mid), wound nylon-core/silver-plated-copper (bass). ρ_nylon = 0.04155 lb/in³, σ_break = 44,600 psi. Wound effective ρ ≈ 2.5× plain.</t>
        </is>
      </c>
    </row>
    <row r="196">
      <c r="A196" t="inlineStr">
        <is>
          <t>Soundboard: Sitka spruce E∥ = 11 GPa, ρ = 400 kg/m³ — high E/ρ for radiation efficiency. WRC similar but lower density.</t>
        </is>
      </c>
    </row>
    <row r="197">
      <c r="A197" t="inlineStr">
        <is>
          <t>Frame woods: maple (hard, stable), walnut (decorative), ash. Frame must resist string tension (~600–1000 lbf total on a 34-string).</t>
        </is>
      </c>
    </row>
    <row r="198">
      <c r="A198" t="inlineStr">
        <is>
          <t>Corrections: humidity → ±0.5% on nylon length; temperature → soundboard E shifts; long-term creep of soundboard means re-leveling tuning over months.</t>
        </is>
      </c>
    </row>
    <row r="200">
      <c r="A200" s="609" t="inlineStr">
        <is>
          <t>§5 — BOM, MAP &amp; ANIMATIONS</t>
        </is>
      </c>
    </row>
    <row r="201">
      <c r="A201" t="inlineStr">
        <is>
          <t>SemanticImport["Flutes-AI.xlsx","Floor Harp"] → string schedule + BOM; total tension load = Total[T_i]; check vs. frame-wood yield.</t>
        </is>
      </c>
    </row>
    <row r="202">
      <c r="A202" t="inlineStr">
        <is>
          <t>Animate string pluck per string: ListAnimate Plot[A Sin[n π x/L_i] Cos[2π f_i t] Exp[-t/τ]]; grid of 34 panels.</t>
        </is>
      </c>
    </row>
    <row r="203">
      <c r="A203" t="inlineStr">
        <is>
          <t>Soundboard mode shapes: ContourPlot of plate eigenmodes; ListAnimate (1,1) (2,1) (1,2) (2,2).</t>
        </is>
      </c>
    </row>
    <row r="205">
      <c r="A205" s="609" t="inlineStr">
        <is>
          <t>§6 — EXECUTABLE CELLS</t>
        </is>
      </c>
    </row>
    <row r="206">
      <c r="A206" t="inlineStr">
        <is>
          <t>fString[L_,T_,μ_]:=1/(2 L) Sqrt[T/μ]</t>
        </is>
      </c>
    </row>
    <row r="207">
      <c r="A207" t="inlineStr">
        <is>
          <t>muNylon[d_]:=0.04155 π (d/2)^2  (* lb/in *)</t>
        </is>
      </c>
    </row>
    <row r="208">
      <c r="A208" t="inlineStr">
        <is>
          <t>muWound[d_]:=2.5 muNylon[d]</t>
        </is>
      </c>
    </row>
    <row r="209">
      <c r="A209" t="inlineStr">
        <is>
          <t>totalTension[strings_]:=Total[strings["Tension"]]  (* lbf — frame load *)</t>
        </is>
      </c>
    </row>
    <row r="210">
      <c r="A210" t="inlineStr">
        <is>
          <t>inharmonic[n_,L_,T_,d_,E_]:=n fString[L,T,muNylon[d]] Sqrt[1 + (π^2 E (π d^4/64))/(T L^2) n^2]</t>
        </is>
      </c>
    </row>
    <row r="212">
      <c r="A212" s="609" t="inlineStr">
        <is>
          <t>§7 — DEPLOYMENT</t>
        </is>
      </c>
    </row>
    <row r="213">
      <c r="A213" t="inlineStr">
        <is>
          <t>CloudDeploy harp-design tool: input scale length range + tuning + tension target → output gauge schedule + frame load. APIFunction for bandmate string ordering.</t>
        </is>
      </c>
    </row>
    <row r="214">
      <c r="A214" t="inlineStr">
        <is>
          <t>Wolfram functions: CloudDeploy, FormFunction, APIFunction, EmbedCode, Export[ ,"CDF"|"PDF"].</t>
        </is>
      </c>
    </row>
    <row r="217" ht="18" customHeight="1" s="817">
      <c r="A217" s="807" t="inlineStr">
        <is>
          <t>WOLFRAM EXPLORATIONS — FLOOR HARP</t>
        </is>
      </c>
    </row>
    <row r="218">
      <c r="A218" s="734" t="inlineStr">
        <is>
          <t>Curated from the wolfram-notebooks-roadmap brainstorm — pick a row, file an issue, build the notebook.</t>
        </is>
      </c>
    </row>
    <row r="220">
      <c r="A220" s="808" t="inlineStr">
        <is>
          <t>Roadmap-inspired notebook ideas tailored to this sheet:</t>
        </is>
      </c>
    </row>
    <row r="221">
      <c r="A221" t="inlineStr">
        <is>
          <t xml:space="preserve">  • 34-String Spectrum Synthesizer — Mersenne-Taylor + stiffness inharmonicity per string; pluck-envelope synthesis; full glissando playback for tuning audit.</t>
        </is>
      </c>
    </row>
    <row r="222">
      <c r="A222" t="inlineStr">
        <is>
          <t xml:space="preserve">  • String Schedule Optimizer (NMinimize) — Find gauges that flatten %breaking across treble→bass; constraint: total tension load &lt; frame yield.</t>
        </is>
      </c>
    </row>
    <row r="223">
      <c r="A223" t="inlineStr">
        <is>
          <t xml:space="preserve">  • Frame Load Sensitivity — Frame deflection vs string tension; FEM on triangular frame — does the pillar need a steel reinforcement?</t>
        </is>
      </c>
    </row>
    <row r="224">
      <c r="A224" t="inlineStr">
        <is>
          <t xml:space="preserve">  • Soundboard Mode Mapping — NDEigensystem on tapered spruce top; ListAnimate (1,1) (2,1) (1,2) modes; cite radiation-efficiency formula.</t>
        </is>
      </c>
    </row>
    <row r="225">
      <c r="A225" t="inlineStr">
        <is>
          <t xml:space="preserve">  • Hall IR Convolution — Same harp recorded → convolved with cathedral / concert hall / small room IRs; show how venue shapes the harp's voice.</t>
        </is>
      </c>
    </row>
    <row r="226">
      <c r="A226" t="inlineStr">
        <is>
          <t xml:space="preserve">  • Lap-Harp 19-String Variant Comparison — Side-by-side spectrum + tension load against full 34-string; informs decision tree for builds.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2026-05-02T18:57:49Z</dcterms:modified>
  <cp:lastModifiedBy>Tony Koop</cp:lastModifiedBy>
</cp:coreProperties>
</file>