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Tony\Documents\Claude\Projects\Career\flutes-staging\"/>
    </mc:Choice>
  </mc:AlternateContent>
  <xr:revisionPtr revIDLastSave="0" documentId="13_ncr:1_{304CD94D-B1F4-4B72-ABF3-46572E1E91D2}" xr6:coauthVersionLast="47" xr6:coauthVersionMax="47" xr10:uidLastSave="{00000000-0000-0000-0000-000000000000}"/>
  <bookViews>
    <workbookView xWindow="-120" yWindow="-120" windowWidth="57840" windowHeight="31920" firstSheet="21" activeTab="32" xr2:uid="{00000000-000D-0000-FFFF-FFFF00000000}"/>
  </bookViews>
  <sheets>
    <sheet name="Technical Drawings" sheetId="43" r:id="rId1"/>
    <sheet name="Index" sheetId="34" r:id="rId2"/>
    <sheet name="CNC Flute Dimensions" sheetId="1" r:id="rId3"/>
    <sheet name="Low to High Range" sheetId="2" r:id="rId4"/>
    <sheet name="Pivot Table 2" sheetId="3" r:id="rId5"/>
    <sheet name="Built" sheetId="4" r:id="rId6"/>
    <sheet name="Price Calculator" sheetId="5" r:id="rId7"/>
    <sheet name="Customers" sheetId="6" r:id="rId8"/>
    <sheet name="Mode 1&amp;4 Pent." sheetId="7" r:id="rId9"/>
    <sheet name="Wolfram Export" sheetId="8" r:id="rId10"/>
    <sheet name="Irish Flute" sheetId="9" r:id="rId11"/>
    <sheet name="Shakuhachi" sheetId="10" r:id="rId12"/>
    <sheet name="Tin Whistle" sheetId="11" r:id="rId13"/>
    <sheet name="Fujara" sheetId="12" r:id="rId14"/>
    <sheet name="Tuning Reference" sheetId="13" r:id="rId15"/>
    <sheet name="Kena - Kenacho" sheetId="14" r:id="rId16"/>
    <sheet name="Xiao Family" sheetId="15" r:id="rId17"/>
    <sheet name="Duduk Family" sheetId="16" r:id="rId18"/>
    <sheet name="Moseño" sheetId="17" r:id="rId19"/>
    <sheet name="Andean Duct Flutes" sheetId="18" r:id="rId20"/>
    <sheet name="Siku - Zampoña" sheetId="19" r:id="rId21"/>
    <sheet name="Tongue Drum" sheetId="20" r:id="rId22"/>
    <sheet name="Marimba" sheetId="21" r:id="rId23"/>
    <sheet name="Resonant Box" sheetId="22" r:id="rId24"/>
    <sheet name="Electric Guitar Bodies" sheetId="23" r:id="rId25"/>
    <sheet name="Electric Violin" sheetId="24" r:id="rId26"/>
    <sheet name="Floor Harp" sheetId="25" r:id="rId27"/>
    <sheet name="Xylophone" sheetId="26" r:id="rId28"/>
    <sheet name="Whamola Bass" sheetId="27" r:id="rId29"/>
    <sheet name="Ukulele" sheetId="28" r:id="rId30"/>
    <sheet name="Acoustic Violin" sheetId="29" r:id="rId31"/>
    <sheet name="Segmented Ashiko" sheetId="30" r:id="rId32"/>
    <sheet name="CNC Guitar Bodies" sheetId="31" r:id="rId33"/>
    <sheet name="Segmented Conga" sheetId="32" r:id="rId34"/>
    <sheet name="Kora" sheetId="36" r:id="rId35"/>
    <sheet name="Ngoni" sheetId="37" r:id="rId36"/>
    <sheet name="Stave Lute-Oud" sheetId="38" r:id="rId37"/>
    <sheet name="Didgeridoo" sheetId="33" r:id="rId38"/>
    <sheet name="Handpan" sheetId="40" r:id="rId39"/>
    <sheet name="Steel Tongue Drum" sheetId="41" r:id="rId40"/>
    <sheet name="Wood Shell Tongue Drum" sheetId="42" r:id="rId41"/>
    <sheet name="Tubular Bells" sheetId="44" r:id="rId42"/>
    <sheet name="Steel Pan" sheetId="45" r:id="rId43"/>
    <sheet name="Cajón" sheetId="46" r:id="rId44"/>
    <sheet name="Glockenspiel" sheetId="47" r:id="rId45"/>
    <sheet name="Rainstick" sheetId="48" r:id="rId46"/>
    <sheet name="Ocarina" sheetId="49" r:id="rId47"/>
    <sheet name="Ceramic Electric Violin" sheetId="50" r:id="rId48"/>
    <sheet name="Duntong" sheetId="39" r:id="rId49"/>
    <sheet name="Udu Drum Family" sheetId="51" r:id="rId50"/>
    <sheet name="Great Highland Bagpipe" sheetId="52" r:id="rId51"/>
    <sheet name="Ceramic Tongue Drum" sheetId="53" r:id="rId52"/>
  </sheets>
  <calcPr calcId="191029"/>
  <pivotCaches>
    <pivotCache cacheId="15" r:id="rId5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6" i="53" l="1"/>
  <c r="E66" i="53"/>
  <c r="H66" i="53" s="1"/>
  <c r="D66" i="53"/>
  <c r="G65" i="53"/>
  <c r="D65" i="53"/>
  <c r="E65" i="53" s="1"/>
  <c r="G64" i="53"/>
  <c r="D64" i="53"/>
  <c r="E64" i="53" s="1"/>
  <c r="G63" i="53"/>
  <c r="D63" i="53"/>
  <c r="E63" i="53" s="1"/>
  <c r="G62" i="53"/>
  <c r="D62" i="53"/>
  <c r="E62" i="53" s="1"/>
  <c r="G61" i="53"/>
  <c r="D61" i="53"/>
  <c r="E61" i="53" s="1"/>
  <c r="G60" i="53"/>
  <c r="D60" i="53"/>
  <c r="E60" i="53" s="1"/>
  <c r="G59" i="53"/>
  <c r="D59" i="53"/>
  <c r="E59" i="53" s="1"/>
  <c r="G58" i="53"/>
  <c r="D58" i="53"/>
  <c r="E58" i="53" s="1"/>
  <c r="H57" i="53"/>
  <c r="G57" i="53"/>
  <c r="F57" i="53"/>
  <c r="E57" i="53"/>
  <c r="D57" i="53"/>
  <c r="B73" i="53"/>
  <c r="B72" i="53"/>
  <c r="B71" i="53"/>
  <c r="B69" i="53"/>
  <c r="H56" i="53"/>
  <c r="G56" i="53"/>
  <c r="F56" i="53"/>
  <c r="E56" i="53"/>
  <c r="D56" i="53"/>
  <c r="D50" i="53"/>
  <c r="C50" i="53"/>
  <c r="D49" i="53"/>
  <c r="C49" i="53"/>
  <c r="D48" i="53"/>
  <c r="C48" i="53"/>
  <c r="B41" i="53"/>
  <c r="C53" i="52"/>
  <c r="C52" i="52"/>
  <c r="C51" i="52"/>
  <c r="C50" i="52"/>
  <c r="C49" i="52"/>
  <c r="C54" i="52"/>
  <c r="C55" i="52"/>
  <c r="C48" i="52"/>
  <c r="B44" i="52"/>
  <c r="C44" i="52"/>
  <c r="C80" i="52"/>
  <c r="D80" i="52" s="1"/>
  <c r="C79" i="52"/>
  <c r="D79" i="52" s="1"/>
  <c r="C78" i="52"/>
  <c r="D78" i="52" s="1"/>
  <c r="C31" i="52"/>
  <c r="D31" i="52" s="1"/>
  <c r="C30" i="52"/>
  <c r="D30" i="52" s="1"/>
  <c r="C29" i="52"/>
  <c r="D29" i="52" s="1"/>
  <c r="C28" i="52"/>
  <c r="D28" i="52" s="1"/>
  <c r="C27" i="52"/>
  <c r="D27" i="52" s="1"/>
  <c r="C26" i="52"/>
  <c r="D26" i="52" s="1"/>
  <c r="D25" i="52"/>
  <c r="C25" i="52"/>
  <c r="C24" i="52"/>
  <c r="D24" i="52" s="1"/>
  <c r="C23" i="52"/>
  <c r="D23" i="52" s="1"/>
  <c r="B19" i="52"/>
  <c r="B17" i="52"/>
  <c r="B27" i="51"/>
  <c r="B25" i="51"/>
  <c r="B24" i="51"/>
  <c r="B23" i="51"/>
  <c r="B22" i="51"/>
  <c r="B20" i="51"/>
  <c r="B19" i="51"/>
  <c r="B18" i="51"/>
  <c r="B17" i="51"/>
  <c r="B16" i="51"/>
  <c r="D51" i="49"/>
  <c r="D50" i="49"/>
  <c r="D49" i="49"/>
  <c r="D48" i="49"/>
  <c r="D47" i="49"/>
  <c r="D46" i="49"/>
  <c r="D45" i="49"/>
  <c r="D44" i="49"/>
  <c r="D43" i="49"/>
  <c r="E42" i="49"/>
  <c r="E43" i="49" s="1"/>
  <c r="D42" i="49"/>
  <c r="F41" i="49"/>
  <c r="E41" i="49"/>
  <c r="D41" i="49"/>
  <c r="F40" i="49"/>
  <c r="E40" i="49"/>
  <c r="D40" i="49"/>
  <c r="F39" i="49"/>
  <c r="E39" i="49"/>
  <c r="B34" i="49"/>
  <c r="B33" i="49"/>
  <c r="B32" i="49"/>
  <c r="B31" i="49"/>
  <c r="B30" i="49"/>
  <c r="B29" i="49"/>
  <c r="B10" i="49"/>
  <c r="C65" i="48"/>
  <c r="C25" i="48"/>
  <c r="B25" i="48"/>
  <c r="C24" i="48"/>
  <c r="B24" i="48"/>
  <c r="C23" i="48"/>
  <c r="B23" i="48"/>
  <c r="B22" i="48"/>
  <c r="B21" i="48"/>
  <c r="B20" i="48"/>
  <c r="B19" i="48"/>
  <c r="B18" i="48"/>
  <c r="B8" i="48"/>
  <c r="B110" i="47"/>
  <c r="B109" i="47"/>
  <c r="B108" i="47"/>
  <c r="C107" i="47"/>
  <c r="B107" i="47"/>
  <c r="G103" i="47"/>
  <c r="D103" i="47"/>
  <c r="E103" i="47" s="1"/>
  <c r="G102" i="47"/>
  <c r="D102" i="47"/>
  <c r="E102" i="47" s="1"/>
  <c r="G101" i="47"/>
  <c r="D101" i="47"/>
  <c r="E101" i="47" s="1"/>
  <c r="G100" i="47"/>
  <c r="D100" i="47"/>
  <c r="E100" i="47" s="1"/>
  <c r="G99" i="47"/>
  <c r="D99" i="47"/>
  <c r="E99" i="47" s="1"/>
  <c r="G98" i="47"/>
  <c r="E98" i="47"/>
  <c r="I98" i="47" s="1"/>
  <c r="D98" i="47"/>
  <c r="G97" i="47"/>
  <c r="D97" i="47"/>
  <c r="E97" i="47" s="1"/>
  <c r="G96" i="47"/>
  <c r="D96" i="47"/>
  <c r="E96" i="47" s="1"/>
  <c r="G95" i="47"/>
  <c r="D95" i="47"/>
  <c r="E95" i="47" s="1"/>
  <c r="I94" i="47"/>
  <c r="G94" i="47"/>
  <c r="F94" i="47"/>
  <c r="E94" i="47"/>
  <c r="D94" i="47"/>
  <c r="J98" i="47"/>
  <c r="I49" i="47"/>
  <c r="D49" i="47"/>
  <c r="E49" i="47" s="1"/>
  <c r="F49" i="47" s="1"/>
  <c r="I46" i="47"/>
  <c r="D46" i="47"/>
  <c r="E46" i="47" s="1"/>
  <c r="F46" i="47" s="1"/>
  <c r="I43" i="47"/>
  <c r="D43" i="47"/>
  <c r="E43" i="47" s="1"/>
  <c r="F43" i="47" s="1"/>
  <c r="I40" i="47"/>
  <c r="D40" i="47"/>
  <c r="E40" i="47" s="1"/>
  <c r="F40" i="47" s="1"/>
  <c r="I37" i="47"/>
  <c r="D37" i="47"/>
  <c r="E37" i="47" s="1"/>
  <c r="F37" i="47" s="1"/>
  <c r="I34" i="47"/>
  <c r="D34" i="47"/>
  <c r="E34" i="47" s="1"/>
  <c r="F34" i="47" s="1"/>
  <c r="I31" i="47"/>
  <c r="D31" i="47"/>
  <c r="E31" i="47" s="1"/>
  <c r="F31" i="47" s="1"/>
  <c r="I28" i="47"/>
  <c r="D28" i="47"/>
  <c r="E28" i="47" s="1"/>
  <c r="F28" i="47" s="1"/>
  <c r="I25" i="47"/>
  <c r="F25" i="47"/>
  <c r="E25" i="47"/>
  <c r="D25" i="47"/>
  <c r="B21" i="47"/>
  <c r="B31" i="46"/>
  <c r="B30" i="46"/>
  <c r="B29" i="46"/>
  <c r="B28" i="46"/>
  <c r="B27" i="46"/>
  <c r="E23" i="46"/>
  <c r="E22" i="46"/>
  <c r="E21" i="46"/>
  <c r="E56" i="45"/>
  <c r="G56" i="45" s="1"/>
  <c r="E55" i="45"/>
  <c r="G55" i="45" s="1"/>
  <c r="E54" i="45"/>
  <c r="G54" i="45" s="1"/>
  <c r="E53" i="45"/>
  <c r="G53" i="45" s="1"/>
  <c r="E52" i="45"/>
  <c r="G52" i="45" s="1"/>
  <c r="E51" i="45"/>
  <c r="G51" i="45" s="1"/>
  <c r="E50" i="45"/>
  <c r="G50" i="45" s="1"/>
  <c r="E49" i="45"/>
  <c r="G49" i="45" s="1"/>
  <c r="E48" i="45"/>
  <c r="G48" i="45" s="1"/>
  <c r="G47" i="45"/>
  <c r="E47" i="45"/>
  <c r="F47" i="45" s="1"/>
  <c r="G46" i="45"/>
  <c r="F46" i="45"/>
  <c r="E46" i="45"/>
  <c r="E45" i="45"/>
  <c r="G45" i="45" s="1"/>
  <c r="E44" i="45"/>
  <c r="G44" i="45" s="1"/>
  <c r="E43" i="45"/>
  <c r="G43" i="45" s="1"/>
  <c r="G42" i="45"/>
  <c r="F42" i="45"/>
  <c r="E42" i="45"/>
  <c r="E41" i="45"/>
  <c r="G41" i="45" s="1"/>
  <c r="G40" i="45"/>
  <c r="F40" i="45"/>
  <c r="E40" i="45"/>
  <c r="E39" i="45"/>
  <c r="G39" i="45" s="1"/>
  <c r="E38" i="45"/>
  <c r="G38" i="45" s="1"/>
  <c r="E37" i="45"/>
  <c r="G37" i="45" s="1"/>
  <c r="E36" i="45"/>
  <c r="G36" i="45" s="1"/>
  <c r="E35" i="45"/>
  <c r="G35" i="45" s="1"/>
  <c r="E34" i="45"/>
  <c r="G34" i="45" s="1"/>
  <c r="E33" i="45"/>
  <c r="G33" i="45" s="1"/>
  <c r="E32" i="45"/>
  <c r="G32" i="45" s="1"/>
  <c r="E31" i="45"/>
  <c r="G31" i="45" s="1"/>
  <c r="E30" i="45"/>
  <c r="G30" i="45" s="1"/>
  <c r="G29" i="45"/>
  <c r="F29" i="45"/>
  <c r="E29" i="45"/>
  <c r="G28" i="45"/>
  <c r="F28" i="45"/>
  <c r="E28" i="45"/>
  <c r="B7" i="45"/>
  <c r="B6" i="45"/>
  <c r="B58" i="44"/>
  <c r="B57" i="44"/>
  <c r="B55" i="44"/>
  <c r="D51" i="44"/>
  <c r="E51" i="44" s="1"/>
  <c r="F51" i="44" s="1"/>
  <c r="D50" i="44"/>
  <c r="E50" i="44" s="1"/>
  <c r="F50" i="44" s="1"/>
  <c r="D49" i="44"/>
  <c r="E49" i="44" s="1"/>
  <c r="F49" i="44" s="1"/>
  <c r="D48" i="44"/>
  <c r="E48" i="44" s="1"/>
  <c r="F48" i="44" s="1"/>
  <c r="D47" i="44"/>
  <c r="E47" i="44" s="1"/>
  <c r="F47" i="44" s="1"/>
  <c r="D46" i="44"/>
  <c r="E46" i="44" s="1"/>
  <c r="F46" i="44" s="1"/>
  <c r="D45" i="44"/>
  <c r="E45" i="44" s="1"/>
  <c r="F45" i="44" s="1"/>
  <c r="D44" i="44"/>
  <c r="E44" i="44" s="1"/>
  <c r="F44" i="44" s="1"/>
  <c r="D43" i="44"/>
  <c r="E43" i="44" s="1"/>
  <c r="F43" i="44" s="1"/>
  <c r="D42" i="44"/>
  <c r="E42" i="44" s="1"/>
  <c r="F42" i="44" s="1"/>
  <c r="D41" i="44"/>
  <c r="E41" i="44" s="1"/>
  <c r="F41" i="44" s="1"/>
  <c r="D40" i="44"/>
  <c r="E40" i="44" s="1"/>
  <c r="F40" i="44" s="1"/>
  <c r="D39" i="44"/>
  <c r="E39" i="44" s="1"/>
  <c r="F39" i="44" s="1"/>
  <c r="H39" i="44" s="1"/>
  <c r="D38" i="44"/>
  <c r="E38" i="44" s="1"/>
  <c r="F38" i="44" s="1"/>
  <c r="D37" i="44"/>
  <c r="E37" i="44" s="1"/>
  <c r="F37" i="44" s="1"/>
  <c r="D36" i="44"/>
  <c r="E36" i="44" s="1"/>
  <c r="F36" i="44" s="1"/>
  <c r="D35" i="44"/>
  <c r="E35" i="44" s="1"/>
  <c r="F35" i="44" s="1"/>
  <c r="H34" i="44"/>
  <c r="G34" i="44"/>
  <c r="F34" i="44"/>
  <c r="E34" i="44"/>
  <c r="D34" i="44"/>
  <c r="B31" i="44"/>
  <c r="B30" i="44"/>
  <c r="B29" i="44"/>
  <c r="B28" i="44"/>
  <c r="B27" i="44"/>
  <c r="B7" i="44"/>
  <c r="B89" i="42"/>
  <c r="B88" i="42"/>
  <c r="B80" i="42"/>
  <c r="B79" i="42"/>
  <c r="B78" i="42"/>
  <c r="B70" i="42"/>
  <c r="B67" i="42"/>
  <c r="B66" i="42"/>
  <c r="B57" i="42"/>
  <c r="D48" i="42"/>
  <c r="E48" i="42" s="1"/>
  <c r="D47" i="42"/>
  <c r="E47" i="42" s="1"/>
  <c r="D46" i="42"/>
  <c r="E46" i="42" s="1"/>
  <c r="D45" i="42"/>
  <c r="E45" i="42" s="1"/>
  <c r="D44" i="42"/>
  <c r="E44" i="42" s="1"/>
  <c r="D43" i="42"/>
  <c r="E43" i="42" s="1"/>
  <c r="D42" i="42"/>
  <c r="E42" i="42" s="1"/>
  <c r="D41" i="42"/>
  <c r="E41" i="42" s="1"/>
  <c r="D40" i="42"/>
  <c r="E40" i="42" s="1"/>
  <c r="D39" i="42"/>
  <c r="E39" i="42" s="1"/>
  <c r="I38" i="42"/>
  <c r="G38" i="42"/>
  <c r="F38" i="42"/>
  <c r="E38" i="42"/>
  <c r="D38" i="42"/>
  <c r="B35" i="42"/>
  <c r="B32" i="42"/>
  <c r="B31" i="42"/>
  <c r="B30" i="42"/>
  <c r="B29" i="42"/>
  <c r="B28" i="42"/>
  <c r="I58" i="41"/>
  <c r="I57" i="41"/>
  <c r="I56" i="41"/>
  <c r="I55" i="41"/>
  <c r="I54" i="41"/>
  <c r="I53" i="41"/>
  <c r="I52" i="41"/>
  <c r="I51" i="41"/>
  <c r="I50" i="41"/>
  <c r="I49" i="41"/>
  <c r="I48" i="41"/>
  <c r="G58" i="41"/>
  <c r="D58" i="41"/>
  <c r="E58" i="41" s="1"/>
  <c r="G57" i="41"/>
  <c r="D57" i="41"/>
  <c r="E57" i="41" s="1"/>
  <c r="G56" i="41"/>
  <c r="D56" i="41"/>
  <c r="E56" i="41" s="1"/>
  <c r="G55" i="41"/>
  <c r="D55" i="41"/>
  <c r="E55" i="41" s="1"/>
  <c r="G54" i="41"/>
  <c r="D54" i="41"/>
  <c r="E54" i="41" s="1"/>
  <c r="G53" i="41"/>
  <c r="D53" i="41"/>
  <c r="E53" i="41" s="1"/>
  <c r="G52" i="41"/>
  <c r="D52" i="41"/>
  <c r="E52" i="41" s="1"/>
  <c r="G51" i="41"/>
  <c r="E51" i="41"/>
  <c r="H51" i="41" s="1"/>
  <c r="D51" i="41"/>
  <c r="G50" i="41"/>
  <c r="D50" i="41"/>
  <c r="E50" i="41" s="1"/>
  <c r="G49" i="41"/>
  <c r="D49" i="41"/>
  <c r="E49" i="41" s="1"/>
  <c r="H48" i="41"/>
  <c r="G48" i="41"/>
  <c r="F48" i="41"/>
  <c r="E48" i="41"/>
  <c r="D48" i="41"/>
  <c r="B31" i="41"/>
  <c r="B30" i="41"/>
  <c r="B29" i="41"/>
  <c r="B28" i="41"/>
  <c r="B27" i="41"/>
  <c r="D46" i="40"/>
  <c r="F46" i="40" s="1"/>
  <c r="D45" i="40"/>
  <c r="F45" i="40" s="1"/>
  <c r="D44" i="40"/>
  <c r="F44" i="40" s="1"/>
  <c r="D43" i="40"/>
  <c r="F43" i="40" s="1"/>
  <c r="D42" i="40"/>
  <c r="F42" i="40" s="1"/>
  <c r="D41" i="40"/>
  <c r="F41" i="40" s="1"/>
  <c r="F40" i="40"/>
  <c r="E40" i="40"/>
  <c r="D40" i="40"/>
  <c r="I46" i="40"/>
  <c r="J46" i="40" s="1"/>
  <c r="I45" i="40"/>
  <c r="J45" i="40" s="1"/>
  <c r="I44" i="40"/>
  <c r="J44" i="40" s="1"/>
  <c r="I43" i="40"/>
  <c r="J43" i="40" s="1"/>
  <c r="I42" i="40"/>
  <c r="J42" i="40" s="1"/>
  <c r="I41" i="40"/>
  <c r="J41" i="40" s="1"/>
  <c r="I40" i="40"/>
  <c r="J40" i="40" s="1"/>
  <c r="J39" i="40"/>
  <c r="I39" i="40"/>
  <c r="D39" i="40"/>
  <c r="F39" i="40" s="1"/>
  <c r="F38" i="40"/>
  <c r="E38" i="40"/>
  <c r="D38" i="40"/>
  <c r="B21" i="40"/>
  <c r="B18" i="40"/>
  <c r="B20" i="40"/>
  <c r="B22" i="40" s="1"/>
  <c r="B19" i="40"/>
  <c r="B17" i="40"/>
  <c r="B16" i="40"/>
  <c r="D100" i="39"/>
  <c r="E96" i="39"/>
  <c r="G96" i="39" s="1"/>
  <c r="J96" i="39" s="1"/>
  <c r="E95" i="39"/>
  <c r="G95" i="39" s="1"/>
  <c r="J95" i="39" s="1"/>
  <c r="E94" i="39"/>
  <c r="G94" i="39" s="1"/>
  <c r="J94" i="39" s="1"/>
  <c r="E93" i="39"/>
  <c r="G93" i="39" s="1"/>
  <c r="J93" i="39" s="1"/>
  <c r="G92" i="39"/>
  <c r="J92" i="39" s="1"/>
  <c r="F92" i="39"/>
  <c r="I92" i="39" s="1"/>
  <c r="E92" i="39"/>
  <c r="E91" i="39"/>
  <c r="G91" i="39" s="1"/>
  <c r="J91" i="39" s="1"/>
  <c r="E90" i="39"/>
  <c r="G90" i="39" s="1"/>
  <c r="J90" i="39" s="1"/>
  <c r="J89" i="39"/>
  <c r="I89" i="39"/>
  <c r="H89" i="39"/>
  <c r="G89" i="39"/>
  <c r="F89" i="39"/>
  <c r="E89" i="39"/>
  <c r="D96" i="39"/>
  <c r="D95" i="39"/>
  <c r="D94" i="39"/>
  <c r="D93" i="39"/>
  <c r="D92" i="39"/>
  <c r="D91" i="39"/>
  <c r="D90" i="39"/>
  <c r="D89" i="39"/>
  <c r="B85" i="39"/>
  <c r="B84" i="39"/>
  <c r="B83" i="39"/>
  <c r="B82" i="39"/>
  <c r="B78" i="39"/>
  <c r="B77" i="39"/>
  <c r="B76" i="39"/>
  <c r="B75" i="39"/>
  <c r="B46" i="39"/>
  <c r="B57" i="39"/>
  <c r="B56" i="39"/>
  <c r="B53" i="39"/>
  <c r="B52" i="39"/>
  <c r="B48" i="39"/>
  <c r="C49" i="39" s="1"/>
  <c r="B47" i="39"/>
  <c r="C35" i="39"/>
  <c r="B35" i="39"/>
  <c r="C34" i="39"/>
  <c r="B34" i="39"/>
  <c r="C33" i="39"/>
  <c r="B33" i="39"/>
  <c r="C32" i="39"/>
  <c r="B32" i="39"/>
  <c r="C31" i="39"/>
  <c r="B31" i="39"/>
  <c r="C30" i="39"/>
  <c r="B30" i="39"/>
  <c r="C29" i="39"/>
  <c r="B29" i="39"/>
  <c r="C28" i="39"/>
  <c r="B28" i="39"/>
  <c r="D86" i="38"/>
  <c r="D83" i="38"/>
  <c r="C79" i="38"/>
  <c r="D79" i="38" s="1"/>
  <c r="C78" i="38"/>
  <c r="D78" i="38" s="1"/>
  <c r="C77" i="38"/>
  <c r="D77" i="38" s="1"/>
  <c r="C76" i="38"/>
  <c r="D76" i="38" s="1"/>
  <c r="C75" i="38"/>
  <c r="D75" i="38" s="1"/>
  <c r="C74" i="38"/>
  <c r="D74" i="38" s="1"/>
  <c r="C73" i="38"/>
  <c r="D73" i="38" s="1"/>
  <c r="D72" i="38"/>
  <c r="C72" i="38"/>
  <c r="H60" i="38"/>
  <c r="F67" i="38"/>
  <c r="D67" i="38"/>
  <c r="H67" i="38" s="1"/>
  <c r="I67" i="38" s="1"/>
  <c r="F66" i="38"/>
  <c r="D66" i="38"/>
  <c r="H66" i="38" s="1"/>
  <c r="I66" i="38" s="1"/>
  <c r="H65" i="38"/>
  <c r="I65" i="38" s="1"/>
  <c r="G65" i="38"/>
  <c r="F65" i="38"/>
  <c r="D65" i="38"/>
  <c r="F64" i="38"/>
  <c r="D64" i="38"/>
  <c r="H64" i="38" s="1"/>
  <c r="I64" i="38" s="1"/>
  <c r="F63" i="38"/>
  <c r="D63" i="38"/>
  <c r="H63" i="38" s="1"/>
  <c r="I63" i="38" s="1"/>
  <c r="F62" i="38"/>
  <c r="D62" i="38"/>
  <c r="H62" i="38" s="1"/>
  <c r="I62" i="38" s="1"/>
  <c r="I61" i="38"/>
  <c r="H61" i="38"/>
  <c r="F61" i="38"/>
  <c r="D61" i="38"/>
  <c r="G61" i="38" s="1"/>
  <c r="I60" i="38"/>
  <c r="G60" i="38"/>
  <c r="F60" i="38"/>
  <c r="D60" i="38"/>
  <c r="H50" i="38"/>
  <c r="H49" i="38"/>
  <c r="F54" i="38"/>
  <c r="D54" i="38"/>
  <c r="H54" i="38" s="1"/>
  <c r="I54" i="38" s="1"/>
  <c r="F53" i="38"/>
  <c r="D53" i="38"/>
  <c r="H53" i="38" s="1"/>
  <c r="I53" i="38" s="1"/>
  <c r="F52" i="38"/>
  <c r="D52" i="38"/>
  <c r="H52" i="38" s="1"/>
  <c r="I52" i="38" s="1"/>
  <c r="F51" i="38"/>
  <c r="D51" i="38"/>
  <c r="H51" i="38" s="1"/>
  <c r="I51" i="38" s="1"/>
  <c r="F50" i="38"/>
  <c r="D50" i="38"/>
  <c r="I50" i="38" s="1"/>
  <c r="I49" i="38"/>
  <c r="G49" i="38"/>
  <c r="F49" i="38"/>
  <c r="D49" i="38"/>
  <c r="C28" i="38"/>
  <c r="B28" i="38"/>
  <c r="C26" i="38"/>
  <c r="B26" i="38"/>
  <c r="C25" i="38"/>
  <c r="B25" i="38"/>
  <c r="C24" i="38"/>
  <c r="B24" i="38"/>
  <c r="C12" i="38"/>
  <c r="B12" i="38"/>
  <c r="D87" i="37"/>
  <c r="F83" i="37"/>
  <c r="G83" i="37" s="1"/>
  <c r="I83" i="37" s="1"/>
  <c r="D83" i="37"/>
  <c r="H83" i="37" s="1"/>
  <c r="J83" i="37" s="1"/>
  <c r="F82" i="37"/>
  <c r="G82" i="37" s="1"/>
  <c r="I82" i="37" s="1"/>
  <c r="D82" i="37"/>
  <c r="H82" i="37" s="1"/>
  <c r="J82" i="37" s="1"/>
  <c r="F81" i="37"/>
  <c r="G81" i="37" s="1"/>
  <c r="I81" i="37" s="1"/>
  <c r="D81" i="37"/>
  <c r="H81" i="37" s="1"/>
  <c r="J81" i="37" s="1"/>
  <c r="F80" i="37"/>
  <c r="G80" i="37" s="1"/>
  <c r="I80" i="37" s="1"/>
  <c r="D80" i="37"/>
  <c r="H80" i="37" s="1"/>
  <c r="J80" i="37" s="1"/>
  <c r="F79" i="37"/>
  <c r="G79" i="37" s="1"/>
  <c r="I79" i="37" s="1"/>
  <c r="D79" i="37"/>
  <c r="H79" i="37" s="1"/>
  <c r="J79" i="37" s="1"/>
  <c r="F78" i="37"/>
  <c r="G78" i="37" s="1"/>
  <c r="I78" i="37" s="1"/>
  <c r="D78" i="37"/>
  <c r="H78" i="37" s="1"/>
  <c r="J78" i="37" s="1"/>
  <c r="F77" i="37"/>
  <c r="G77" i="37" s="1"/>
  <c r="I77" i="37" s="1"/>
  <c r="D77" i="37"/>
  <c r="H77" i="37" s="1"/>
  <c r="J77" i="37" s="1"/>
  <c r="F76" i="37"/>
  <c r="G76" i="37" s="1"/>
  <c r="I76" i="37" s="1"/>
  <c r="D76" i="37"/>
  <c r="H76" i="37" s="1"/>
  <c r="J76" i="37" s="1"/>
  <c r="F75" i="37"/>
  <c r="G75" i="37" s="1"/>
  <c r="I75" i="37" s="1"/>
  <c r="D75" i="37"/>
  <c r="H75" i="37" s="1"/>
  <c r="J75" i="37" s="1"/>
  <c r="F74" i="37"/>
  <c r="G74" i="37" s="1"/>
  <c r="I74" i="37" s="1"/>
  <c r="D74" i="37"/>
  <c r="H74" i="37" s="1"/>
  <c r="J74" i="37" s="1"/>
  <c r="H73" i="37"/>
  <c r="J73" i="37" s="1"/>
  <c r="G73" i="37"/>
  <c r="I73" i="37" s="1"/>
  <c r="F73" i="37"/>
  <c r="D73" i="37"/>
  <c r="F72" i="37"/>
  <c r="G72" i="37" s="1"/>
  <c r="I72" i="37" s="1"/>
  <c r="D72" i="37"/>
  <c r="H72" i="37" s="1"/>
  <c r="J72" i="37" s="1"/>
  <c r="F71" i="37"/>
  <c r="G71" i="37" s="1"/>
  <c r="I71" i="37" s="1"/>
  <c r="D71" i="37"/>
  <c r="H71" i="37" s="1"/>
  <c r="J71" i="37" s="1"/>
  <c r="J70" i="37"/>
  <c r="I70" i="37"/>
  <c r="H70" i="37"/>
  <c r="G70" i="37"/>
  <c r="F70" i="37"/>
  <c r="D70" i="37"/>
  <c r="F66" i="37"/>
  <c r="G66" i="37" s="1"/>
  <c r="I66" i="37" s="1"/>
  <c r="D66" i="37"/>
  <c r="H66" i="37" s="1"/>
  <c r="J66" i="37" s="1"/>
  <c r="F65" i="37"/>
  <c r="D65" i="37"/>
  <c r="H65" i="37" s="1"/>
  <c r="J65" i="37" s="1"/>
  <c r="F64" i="37"/>
  <c r="G64" i="37" s="1"/>
  <c r="I64" i="37" s="1"/>
  <c r="D64" i="37"/>
  <c r="H64" i="37" s="1"/>
  <c r="J64" i="37" s="1"/>
  <c r="F63" i="37"/>
  <c r="G63" i="37" s="1"/>
  <c r="I63" i="37" s="1"/>
  <c r="D63" i="37"/>
  <c r="H63" i="37" s="1"/>
  <c r="J63" i="37" s="1"/>
  <c r="F62" i="37"/>
  <c r="G62" i="37" s="1"/>
  <c r="I62" i="37" s="1"/>
  <c r="D62" i="37"/>
  <c r="H62" i="37" s="1"/>
  <c r="J62" i="37" s="1"/>
  <c r="F61" i="37"/>
  <c r="G61" i="37" s="1"/>
  <c r="I61" i="37" s="1"/>
  <c r="D61" i="37"/>
  <c r="H61" i="37" s="1"/>
  <c r="J61" i="37" s="1"/>
  <c r="F60" i="37"/>
  <c r="G60" i="37" s="1"/>
  <c r="I60" i="37" s="1"/>
  <c r="D60" i="37"/>
  <c r="H60" i="37" s="1"/>
  <c r="J60" i="37" s="1"/>
  <c r="F59" i="37"/>
  <c r="G59" i="37" s="1"/>
  <c r="I59" i="37" s="1"/>
  <c r="D59" i="37"/>
  <c r="H59" i="37" s="1"/>
  <c r="J59" i="37" s="1"/>
  <c r="F58" i="37"/>
  <c r="G58" i="37" s="1"/>
  <c r="I58" i="37" s="1"/>
  <c r="D58" i="37"/>
  <c r="H58" i="37" s="1"/>
  <c r="J58" i="37" s="1"/>
  <c r="J57" i="37"/>
  <c r="I57" i="37"/>
  <c r="H57" i="37"/>
  <c r="G57" i="37"/>
  <c r="F57" i="37"/>
  <c r="D57" i="37"/>
  <c r="F53" i="37"/>
  <c r="G53" i="37" s="1"/>
  <c r="I53" i="37" s="1"/>
  <c r="D53" i="37"/>
  <c r="H53" i="37" s="1"/>
  <c r="J53" i="37" s="1"/>
  <c r="F52" i="37"/>
  <c r="G52" i="37" s="1"/>
  <c r="I52" i="37" s="1"/>
  <c r="D52" i="37"/>
  <c r="H52" i="37" s="1"/>
  <c r="J52" i="37" s="1"/>
  <c r="F51" i="37"/>
  <c r="G51" i="37" s="1"/>
  <c r="I51" i="37" s="1"/>
  <c r="D51" i="37"/>
  <c r="H51" i="37" s="1"/>
  <c r="J51" i="37" s="1"/>
  <c r="F50" i="37"/>
  <c r="G50" i="37" s="1"/>
  <c r="I50" i="37" s="1"/>
  <c r="D50" i="37"/>
  <c r="H50" i="37" s="1"/>
  <c r="J50" i="37" s="1"/>
  <c r="F49" i="37"/>
  <c r="G49" i="37" s="1"/>
  <c r="I49" i="37" s="1"/>
  <c r="D49" i="37"/>
  <c r="H49" i="37" s="1"/>
  <c r="J49" i="37" s="1"/>
  <c r="J48" i="37"/>
  <c r="I48" i="37"/>
  <c r="H48" i="37"/>
  <c r="G48" i="37"/>
  <c r="F48" i="37"/>
  <c r="D48" i="37"/>
  <c r="F41" i="37"/>
  <c r="F40" i="37"/>
  <c r="E40" i="37"/>
  <c r="D40" i="37" s="1"/>
  <c r="B40" i="37"/>
  <c r="F39" i="37"/>
  <c r="E39" i="37"/>
  <c r="D39" i="37" s="1"/>
  <c r="C39" i="37"/>
  <c r="B39" i="37"/>
  <c r="F38" i="37"/>
  <c r="E38" i="37"/>
  <c r="D38" i="37" s="1"/>
  <c r="B38" i="37"/>
  <c r="F37" i="37"/>
  <c r="E37" i="37"/>
  <c r="D37" i="37" s="1"/>
  <c r="B37" i="37"/>
  <c r="F36" i="37"/>
  <c r="E36" i="37"/>
  <c r="D36" i="37" s="1"/>
  <c r="C36" i="37"/>
  <c r="B36" i="37"/>
  <c r="F35" i="37"/>
  <c r="E35" i="37"/>
  <c r="D35" i="37" s="1"/>
  <c r="B35" i="37"/>
  <c r="F34" i="37"/>
  <c r="E34" i="37"/>
  <c r="D34" i="37" s="1"/>
  <c r="B34" i="37"/>
  <c r="F33" i="37"/>
  <c r="E33" i="37"/>
  <c r="D33" i="37"/>
  <c r="C33" i="37"/>
  <c r="B33" i="37"/>
  <c r="F32" i="37"/>
  <c r="E32" i="37"/>
  <c r="D32" i="37"/>
  <c r="C32" i="37"/>
  <c r="B32" i="37"/>
  <c r="F31" i="37"/>
  <c r="E31" i="37"/>
  <c r="D31" i="37" s="1"/>
  <c r="B31" i="37"/>
  <c r="F30" i="37"/>
  <c r="E30" i="37"/>
  <c r="D30" i="37" s="1"/>
  <c r="C30" i="37"/>
  <c r="B30" i="37"/>
  <c r="B26" i="37"/>
  <c r="B25" i="37"/>
  <c r="B24" i="37"/>
  <c r="B22" i="37"/>
  <c r="K76" i="36"/>
  <c r="K63" i="36"/>
  <c r="K62" i="36"/>
  <c r="K61" i="36"/>
  <c r="K60" i="36"/>
  <c r="K59" i="36"/>
  <c r="D103" i="36"/>
  <c r="D102" i="36"/>
  <c r="B88" i="36"/>
  <c r="H79" i="36"/>
  <c r="E79" i="36"/>
  <c r="K79" i="36" s="1"/>
  <c r="H78" i="36"/>
  <c r="E78" i="36"/>
  <c r="K78" i="36" s="1"/>
  <c r="H77" i="36"/>
  <c r="E77" i="36"/>
  <c r="K77" i="36" s="1"/>
  <c r="H76" i="36"/>
  <c r="E76" i="36"/>
  <c r="H75" i="36"/>
  <c r="E75" i="36"/>
  <c r="K75" i="36" s="1"/>
  <c r="H74" i="36"/>
  <c r="E74" i="36"/>
  <c r="K74" i="36" s="1"/>
  <c r="K73" i="36"/>
  <c r="H73" i="36"/>
  <c r="E73" i="36"/>
  <c r="I73" i="36" s="1"/>
  <c r="J73" i="36" s="1"/>
  <c r="H72" i="36"/>
  <c r="E72" i="36"/>
  <c r="K72" i="36" s="1"/>
  <c r="H71" i="36"/>
  <c r="E71" i="36"/>
  <c r="K71" i="36" s="1"/>
  <c r="H70" i="36"/>
  <c r="E70" i="36"/>
  <c r="K70" i="36" s="1"/>
  <c r="H69" i="36"/>
  <c r="E69" i="36"/>
  <c r="K69" i="36" s="1"/>
  <c r="H68" i="36"/>
  <c r="E68" i="36"/>
  <c r="K68" i="36" s="1"/>
  <c r="K67" i="36"/>
  <c r="I67" i="36"/>
  <c r="J67" i="36" s="1"/>
  <c r="H67" i="36"/>
  <c r="E67" i="36"/>
  <c r="H66" i="36"/>
  <c r="E66" i="36"/>
  <c r="K66" i="36" s="1"/>
  <c r="H65" i="36"/>
  <c r="E65" i="36"/>
  <c r="K65" i="36" s="1"/>
  <c r="H64" i="36"/>
  <c r="E64" i="36"/>
  <c r="K64" i="36" s="1"/>
  <c r="H63" i="36"/>
  <c r="E63" i="36"/>
  <c r="H62" i="36"/>
  <c r="E62" i="36"/>
  <c r="H61" i="36"/>
  <c r="E61" i="36"/>
  <c r="H60" i="36"/>
  <c r="E60" i="36"/>
  <c r="I60" i="36" s="1"/>
  <c r="J60" i="36" s="1"/>
  <c r="J59" i="36"/>
  <c r="I59" i="36"/>
  <c r="H59" i="36"/>
  <c r="E59" i="36"/>
  <c r="B49" i="36"/>
  <c r="B48" i="36"/>
  <c r="B47" i="36"/>
  <c r="B46" i="36"/>
  <c r="I42" i="36"/>
  <c r="H42" i="36"/>
  <c r="G42" i="36"/>
  <c r="F42" i="36"/>
  <c r="I41" i="36"/>
  <c r="H41" i="36"/>
  <c r="G41" i="36"/>
  <c r="F41" i="36"/>
  <c r="E41" i="36"/>
  <c r="D41" i="36" s="1"/>
  <c r="C41" i="36"/>
  <c r="B41" i="36"/>
  <c r="I40" i="36"/>
  <c r="H40" i="36"/>
  <c r="G40" i="36"/>
  <c r="F40" i="36"/>
  <c r="E40" i="36"/>
  <c r="D40" i="36" s="1"/>
  <c r="B40" i="36"/>
  <c r="I39" i="36"/>
  <c r="H39" i="36"/>
  <c r="G39" i="36"/>
  <c r="F39" i="36"/>
  <c r="E39" i="36"/>
  <c r="D39" i="36" s="1"/>
  <c r="B39" i="36"/>
  <c r="I38" i="36"/>
  <c r="H38" i="36"/>
  <c r="G38" i="36"/>
  <c r="F38" i="36"/>
  <c r="E38" i="36"/>
  <c r="D38" i="36" s="1"/>
  <c r="C38" i="36"/>
  <c r="B38" i="36"/>
  <c r="I37" i="36"/>
  <c r="H37" i="36"/>
  <c r="G37" i="36"/>
  <c r="F37" i="36"/>
  <c r="E37" i="36"/>
  <c r="D37" i="36" s="1"/>
  <c r="C37" i="36"/>
  <c r="B37" i="36"/>
  <c r="I36" i="36"/>
  <c r="H36" i="36"/>
  <c r="G36" i="36"/>
  <c r="F36" i="36"/>
  <c r="E36" i="36"/>
  <c r="D36" i="36" s="1"/>
  <c r="B36" i="36"/>
  <c r="I35" i="36"/>
  <c r="H35" i="36"/>
  <c r="G35" i="36"/>
  <c r="F35" i="36"/>
  <c r="E35" i="36"/>
  <c r="D35" i="36" s="1"/>
  <c r="B35" i="36"/>
  <c r="I34" i="36"/>
  <c r="H34" i="36"/>
  <c r="G34" i="36"/>
  <c r="F34" i="36"/>
  <c r="E34" i="36"/>
  <c r="D34" i="36"/>
  <c r="C34" i="36"/>
  <c r="B34" i="36"/>
  <c r="I33" i="36"/>
  <c r="H33" i="36"/>
  <c r="G33" i="36"/>
  <c r="F33" i="36"/>
  <c r="E33" i="36"/>
  <c r="D33" i="36"/>
  <c r="C33" i="36"/>
  <c r="B33" i="36"/>
  <c r="I32" i="36"/>
  <c r="H32" i="36"/>
  <c r="G32" i="36"/>
  <c r="F32" i="36"/>
  <c r="E32" i="36"/>
  <c r="D32" i="36" s="1"/>
  <c r="B32" i="36"/>
  <c r="I31" i="36"/>
  <c r="H31" i="36"/>
  <c r="G31" i="36"/>
  <c r="F31" i="36"/>
  <c r="E31" i="36"/>
  <c r="D31" i="36" s="1"/>
  <c r="B31" i="36"/>
  <c r="I30" i="36"/>
  <c r="H30" i="36"/>
  <c r="G30" i="36"/>
  <c r="F30" i="36"/>
  <c r="E30" i="36"/>
  <c r="D30" i="36" s="1"/>
  <c r="C30" i="36"/>
  <c r="B30" i="36"/>
  <c r="I29" i="36"/>
  <c r="H29" i="36"/>
  <c r="G29" i="36"/>
  <c r="F29" i="36"/>
  <c r="E29" i="36"/>
  <c r="D29" i="36"/>
  <c r="C29" i="36"/>
  <c r="B29" i="36"/>
  <c r="I28" i="36"/>
  <c r="H28" i="36"/>
  <c r="G28" i="36"/>
  <c r="F28" i="36"/>
  <c r="E28" i="36"/>
  <c r="D28" i="36" s="1"/>
  <c r="C28" i="36"/>
  <c r="B28" i="36"/>
  <c r="G23" i="36"/>
  <c r="G22" i="36"/>
  <c r="G21" i="36"/>
  <c r="G20" i="36"/>
  <c r="B24" i="36"/>
  <c r="B23" i="36"/>
  <c r="B22" i="36"/>
  <c r="B21" i="36"/>
  <c r="Z40" i="33"/>
  <c r="Z39" i="33" s="1"/>
  <c r="Z38" i="33"/>
  <c r="Z36" i="33"/>
  <c r="Z35" i="33"/>
  <c r="Z34" i="33"/>
  <c r="Z31" i="33"/>
  <c r="Z30" i="33" s="1"/>
  <c r="Z29" i="33"/>
  <c r="Z28" i="33"/>
  <c r="Z27" i="33"/>
  <c r="Z25" i="33"/>
  <c r="Z22" i="33"/>
  <c r="Z21" i="33"/>
  <c r="Z20" i="33"/>
  <c r="Z19" i="33"/>
  <c r="Z18" i="33"/>
  <c r="Z15" i="33"/>
  <c r="Z14" i="33"/>
  <c r="Z13" i="33"/>
  <c r="Z12" i="33"/>
  <c r="Y40" i="33"/>
  <c r="Y39" i="33" s="1"/>
  <c r="Y38" i="33"/>
  <c r="Y36" i="33"/>
  <c r="Y35" i="33"/>
  <c r="Y34" i="33"/>
  <c r="Y31" i="33"/>
  <c r="Y30" i="33"/>
  <c r="Y29" i="33"/>
  <c r="Y28" i="33"/>
  <c r="Y27" i="33"/>
  <c r="Y25" i="33"/>
  <c r="Y22" i="33"/>
  <c r="Y21" i="33"/>
  <c r="Y20" i="33"/>
  <c r="Y19" i="33"/>
  <c r="Y18" i="33"/>
  <c r="Y15" i="33"/>
  <c r="Y14" i="33"/>
  <c r="Y13" i="33"/>
  <c r="Y12" i="33"/>
  <c r="X40" i="33"/>
  <c r="X39" i="33" s="1"/>
  <c r="X38" i="33"/>
  <c r="X36" i="33"/>
  <c r="X35" i="33"/>
  <c r="X34" i="33"/>
  <c r="X31" i="33"/>
  <c r="X30" i="33" s="1"/>
  <c r="X29" i="33"/>
  <c r="X28" i="33"/>
  <c r="X27" i="33"/>
  <c r="X25" i="33"/>
  <c r="X22" i="33"/>
  <c r="X21" i="33" s="1"/>
  <c r="X20" i="33"/>
  <c r="X19" i="33"/>
  <c r="X18" i="33"/>
  <c r="X15" i="33"/>
  <c r="X14" i="33"/>
  <c r="X13" i="33"/>
  <c r="X12" i="33"/>
  <c r="W40" i="33"/>
  <c r="W39" i="33" s="1"/>
  <c r="W38" i="33"/>
  <c r="W36" i="33"/>
  <c r="W35" i="33"/>
  <c r="W34" i="33"/>
  <c r="W31" i="33"/>
  <c r="W30" i="33"/>
  <c r="W29" i="33"/>
  <c r="W28" i="33"/>
  <c r="W27" i="33"/>
  <c r="W25" i="33"/>
  <c r="W22" i="33"/>
  <c r="W21" i="33"/>
  <c r="W20" i="33"/>
  <c r="W19" i="33"/>
  <c r="W18" i="33"/>
  <c r="W15" i="33"/>
  <c r="W14" i="33"/>
  <c r="W13" i="33"/>
  <c r="W12" i="33"/>
  <c r="V40" i="33"/>
  <c r="V39" i="33" s="1"/>
  <c r="V38" i="33"/>
  <c r="V36" i="33"/>
  <c r="V35" i="33"/>
  <c r="V34" i="33"/>
  <c r="V31" i="33"/>
  <c r="V30" i="33" s="1"/>
  <c r="V29" i="33"/>
  <c r="V28" i="33"/>
  <c r="V27" i="33"/>
  <c r="V25" i="33"/>
  <c r="V22" i="33"/>
  <c r="V21" i="33"/>
  <c r="V20" i="33"/>
  <c r="V19" i="33"/>
  <c r="V18" i="33"/>
  <c r="V15" i="33"/>
  <c r="V14" i="33"/>
  <c r="V13" i="33"/>
  <c r="V12" i="33"/>
  <c r="U40" i="33"/>
  <c r="U39" i="33"/>
  <c r="U38" i="33"/>
  <c r="U36" i="33"/>
  <c r="U35" i="33"/>
  <c r="U34" i="33"/>
  <c r="U31" i="33"/>
  <c r="U30" i="33" s="1"/>
  <c r="U29" i="33"/>
  <c r="U28" i="33"/>
  <c r="U27" i="33"/>
  <c r="U25" i="33"/>
  <c r="U22" i="33"/>
  <c r="U21" i="33" s="1"/>
  <c r="U20" i="33"/>
  <c r="U19" i="33"/>
  <c r="U18" i="33"/>
  <c r="U15" i="33"/>
  <c r="U14" i="33"/>
  <c r="U13" i="33"/>
  <c r="U12" i="33"/>
  <c r="T40" i="33"/>
  <c r="T39" i="33" s="1"/>
  <c r="T38" i="33"/>
  <c r="T36" i="33"/>
  <c r="T35" i="33"/>
  <c r="T34" i="33"/>
  <c r="T31" i="33"/>
  <c r="T30" i="33"/>
  <c r="T29" i="33"/>
  <c r="T28" i="33"/>
  <c r="T27" i="33"/>
  <c r="T25" i="33"/>
  <c r="T22" i="33"/>
  <c r="T21" i="33" s="1"/>
  <c r="T20" i="33"/>
  <c r="T19" i="33"/>
  <c r="T18" i="33"/>
  <c r="T15" i="33"/>
  <c r="T14" i="33"/>
  <c r="T13" i="33"/>
  <c r="T12" i="33"/>
  <c r="S40" i="33"/>
  <c r="S39" i="33" s="1"/>
  <c r="S38" i="33"/>
  <c r="S36" i="33"/>
  <c r="S35" i="33"/>
  <c r="S34" i="33"/>
  <c r="S31" i="33"/>
  <c r="S30" i="33"/>
  <c r="S29" i="33"/>
  <c r="S28" i="33"/>
  <c r="S27" i="33"/>
  <c r="S25" i="33"/>
  <c r="S22" i="33"/>
  <c r="S21" i="33"/>
  <c r="S20" i="33"/>
  <c r="S19" i="33"/>
  <c r="S18" i="33"/>
  <c r="S15" i="33"/>
  <c r="S14" i="33"/>
  <c r="S13" i="33"/>
  <c r="S12" i="33"/>
  <c r="R40" i="33"/>
  <c r="R39" i="33" s="1"/>
  <c r="R38" i="33"/>
  <c r="R36" i="33"/>
  <c r="R35" i="33"/>
  <c r="R34" i="33"/>
  <c r="R31" i="33"/>
  <c r="R30" i="33"/>
  <c r="R29" i="33"/>
  <c r="R28" i="33"/>
  <c r="R27" i="33"/>
  <c r="R25" i="33"/>
  <c r="R22" i="33"/>
  <c r="R21" i="33" s="1"/>
  <c r="R20" i="33"/>
  <c r="R19" i="33"/>
  <c r="R18" i="33"/>
  <c r="R15" i="33"/>
  <c r="R14" i="33"/>
  <c r="R13" i="33"/>
  <c r="R12" i="33"/>
  <c r="Q40" i="33"/>
  <c r="Q39" i="33"/>
  <c r="Q38" i="33"/>
  <c r="Q36" i="33"/>
  <c r="Q35" i="33"/>
  <c r="Q34" i="33"/>
  <c r="Q31" i="33"/>
  <c r="Q30" i="33"/>
  <c r="Q29" i="33"/>
  <c r="Q28" i="33"/>
  <c r="Q27" i="33"/>
  <c r="Q25" i="33"/>
  <c r="Q22" i="33"/>
  <c r="Q21" i="33"/>
  <c r="Q20" i="33"/>
  <c r="Q19" i="33"/>
  <c r="Q18" i="33"/>
  <c r="Q15" i="33"/>
  <c r="Q14" i="33"/>
  <c r="Q13" i="33"/>
  <c r="Q12" i="33"/>
  <c r="P40" i="33"/>
  <c r="P39" i="33" s="1"/>
  <c r="P38" i="33"/>
  <c r="P36" i="33"/>
  <c r="P35" i="33"/>
  <c r="P34" i="33"/>
  <c r="P31" i="33"/>
  <c r="P30" i="33"/>
  <c r="P29" i="33"/>
  <c r="P28" i="33"/>
  <c r="P27" i="33"/>
  <c r="P25" i="33"/>
  <c r="P22" i="33"/>
  <c r="P21" i="33"/>
  <c r="P20" i="33"/>
  <c r="P19" i="33"/>
  <c r="P18" i="33"/>
  <c r="P15" i="33"/>
  <c r="P14" i="33"/>
  <c r="P13" i="33"/>
  <c r="P12" i="33"/>
  <c r="O40" i="33"/>
  <c r="O39" i="33"/>
  <c r="O38" i="33"/>
  <c r="O36" i="33"/>
  <c r="O35" i="33"/>
  <c r="O34" i="33"/>
  <c r="O31" i="33"/>
  <c r="O30" i="33"/>
  <c r="O29" i="33"/>
  <c r="O28" i="33"/>
  <c r="O27" i="33"/>
  <c r="O25" i="33"/>
  <c r="O22" i="33"/>
  <c r="O21" i="33" s="1"/>
  <c r="O20" i="33"/>
  <c r="O19" i="33"/>
  <c r="O18" i="33"/>
  <c r="O15" i="33"/>
  <c r="O14" i="33"/>
  <c r="O13" i="33"/>
  <c r="O12" i="33"/>
  <c r="N40" i="33"/>
  <c r="N39" i="33"/>
  <c r="N38" i="33"/>
  <c r="N36" i="33"/>
  <c r="N35" i="33"/>
  <c r="N34" i="33"/>
  <c r="N31" i="33"/>
  <c r="N30" i="33"/>
  <c r="N29" i="33"/>
  <c r="N28" i="33"/>
  <c r="N27" i="33"/>
  <c r="N25" i="33"/>
  <c r="N22" i="33"/>
  <c r="N21" i="33"/>
  <c r="N20" i="33"/>
  <c r="N19" i="33"/>
  <c r="N18" i="33"/>
  <c r="N15" i="33"/>
  <c r="N14" i="33"/>
  <c r="N13" i="33"/>
  <c r="N12" i="33"/>
  <c r="M40" i="33"/>
  <c r="M39" i="33"/>
  <c r="M38" i="33"/>
  <c r="M36" i="33"/>
  <c r="M35" i="33"/>
  <c r="M34" i="33"/>
  <c r="M31" i="33"/>
  <c r="M30" i="33" s="1"/>
  <c r="M29" i="33"/>
  <c r="M28" i="33"/>
  <c r="M27" i="33"/>
  <c r="M25" i="33"/>
  <c r="M22" i="33"/>
  <c r="M21" i="33"/>
  <c r="M20" i="33"/>
  <c r="M19" i="33"/>
  <c r="M18" i="33"/>
  <c r="M15" i="33"/>
  <c r="M14" i="33"/>
  <c r="M13" i="33"/>
  <c r="M12" i="33"/>
  <c r="L40" i="33"/>
  <c r="L39" i="33" s="1"/>
  <c r="L38" i="33"/>
  <c r="L36" i="33"/>
  <c r="L35" i="33"/>
  <c r="L34" i="33"/>
  <c r="L31" i="33"/>
  <c r="L30" i="33" s="1"/>
  <c r="L29" i="33"/>
  <c r="L28" i="33"/>
  <c r="L27" i="33"/>
  <c r="L25" i="33"/>
  <c r="L22" i="33"/>
  <c r="L21" i="33" s="1"/>
  <c r="L20" i="33"/>
  <c r="L19" i="33"/>
  <c r="L18" i="33"/>
  <c r="L15" i="33"/>
  <c r="L14" i="33"/>
  <c r="L13" i="33"/>
  <c r="L12" i="33"/>
  <c r="K40" i="33"/>
  <c r="K39" i="33" s="1"/>
  <c r="K38" i="33"/>
  <c r="K36" i="33"/>
  <c r="K35" i="33"/>
  <c r="K34" i="33"/>
  <c r="K31" i="33"/>
  <c r="K30" i="33" s="1"/>
  <c r="K29" i="33"/>
  <c r="K28" i="33"/>
  <c r="K27" i="33"/>
  <c r="K25" i="33"/>
  <c r="K22" i="33"/>
  <c r="K21" i="33"/>
  <c r="K20" i="33"/>
  <c r="K19" i="33"/>
  <c r="K18" i="33"/>
  <c r="K15" i="33"/>
  <c r="K14" i="33"/>
  <c r="K13" i="33"/>
  <c r="K12" i="33"/>
  <c r="J40" i="33"/>
  <c r="J39" i="33"/>
  <c r="J38" i="33"/>
  <c r="J36" i="33"/>
  <c r="J35" i="33"/>
  <c r="J34" i="33"/>
  <c r="J31" i="33"/>
  <c r="J30" i="33"/>
  <c r="J29" i="33"/>
  <c r="J28" i="33"/>
  <c r="J27" i="33"/>
  <c r="J25" i="33"/>
  <c r="J22" i="33"/>
  <c r="J21" i="33"/>
  <c r="J20" i="33"/>
  <c r="J19" i="33"/>
  <c r="J18" i="33"/>
  <c r="J15" i="33"/>
  <c r="J14" i="33"/>
  <c r="J13" i="33"/>
  <c r="J12" i="33"/>
  <c r="I40" i="33"/>
  <c r="I39" i="33"/>
  <c r="I38" i="33"/>
  <c r="I36" i="33"/>
  <c r="I35" i="33"/>
  <c r="I34" i="33"/>
  <c r="I31" i="33"/>
  <c r="I30" i="33" s="1"/>
  <c r="I29" i="33"/>
  <c r="I28" i="33"/>
  <c r="I27" i="33"/>
  <c r="I25" i="33"/>
  <c r="I22" i="33"/>
  <c r="I21" i="33" s="1"/>
  <c r="I20" i="33"/>
  <c r="I19" i="33"/>
  <c r="I18" i="33"/>
  <c r="I15" i="33"/>
  <c r="I14" i="33"/>
  <c r="I13" i="33"/>
  <c r="I12" i="33"/>
  <c r="H40" i="33"/>
  <c r="H39" i="33" s="1"/>
  <c r="H38" i="33"/>
  <c r="H36" i="33"/>
  <c r="H35" i="33"/>
  <c r="H34" i="33"/>
  <c r="H31" i="33"/>
  <c r="H30" i="33"/>
  <c r="H29" i="33"/>
  <c r="H28" i="33"/>
  <c r="H27" i="33"/>
  <c r="H25" i="33"/>
  <c r="H22" i="33"/>
  <c r="H21" i="33"/>
  <c r="H20" i="33"/>
  <c r="H19" i="33"/>
  <c r="H18" i="33"/>
  <c r="H15" i="33"/>
  <c r="H14" i="33"/>
  <c r="H13" i="33"/>
  <c r="H12" i="33"/>
  <c r="G40" i="33"/>
  <c r="G39" i="33" s="1"/>
  <c r="G38" i="33"/>
  <c r="G36" i="33"/>
  <c r="G35" i="33"/>
  <c r="G34" i="33"/>
  <c r="G31" i="33"/>
  <c r="G30" i="33"/>
  <c r="G29" i="33"/>
  <c r="G28" i="33"/>
  <c r="G27" i="33"/>
  <c r="G25" i="33"/>
  <c r="G22" i="33"/>
  <c r="G21" i="33"/>
  <c r="G20" i="33"/>
  <c r="G19" i="33"/>
  <c r="G18" i="33"/>
  <c r="G15" i="33"/>
  <c r="G14" i="33"/>
  <c r="G13" i="33"/>
  <c r="G12" i="33"/>
  <c r="F40" i="33"/>
  <c r="F39" i="33"/>
  <c r="F38" i="33"/>
  <c r="F36" i="33"/>
  <c r="F35" i="33"/>
  <c r="F34" i="33"/>
  <c r="F31" i="33"/>
  <c r="F30" i="33"/>
  <c r="F29" i="33"/>
  <c r="F28" i="33"/>
  <c r="F27" i="33"/>
  <c r="F25" i="33"/>
  <c r="F22" i="33"/>
  <c r="F21" i="33"/>
  <c r="F20" i="33"/>
  <c r="F19" i="33"/>
  <c r="F18" i="33"/>
  <c r="F15" i="33"/>
  <c r="F14" i="33"/>
  <c r="F13" i="33"/>
  <c r="F12" i="33"/>
  <c r="E40" i="33"/>
  <c r="E39" i="33" s="1"/>
  <c r="E38" i="33"/>
  <c r="E36" i="33"/>
  <c r="E35" i="33"/>
  <c r="E34" i="33"/>
  <c r="E31" i="33"/>
  <c r="E30" i="33"/>
  <c r="E29" i="33"/>
  <c r="E28" i="33"/>
  <c r="E27" i="33"/>
  <c r="E25" i="33"/>
  <c r="E22" i="33"/>
  <c r="E21" i="33"/>
  <c r="E20" i="33"/>
  <c r="E19" i="33"/>
  <c r="E18" i="33"/>
  <c r="E15" i="33"/>
  <c r="E14" i="33"/>
  <c r="E13" i="33"/>
  <c r="E12" i="33"/>
  <c r="D40" i="33"/>
  <c r="D39" i="33"/>
  <c r="D38" i="33"/>
  <c r="D36" i="33"/>
  <c r="D35" i="33"/>
  <c r="D34" i="33"/>
  <c r="D31" i="33"/>
  <c r="D30" i="33" s="1"/>
  <c r="D29" i="33"/>
  <c r="D28" i="33"/>
  <c r="D27" i="33"/>
  <c r="D25" i="33"/>
  <c r="D22" i="33"/>
  <c r="D21" i="33" s="1"/>
  <c r="D20" i="33"/>
  <c r="D19" i="33"/>
  <c r="D18" i="33"/>
  <c r="D15" i="33"/>
  <c r="D14" i="33"/>
  <c r="D13" i="33"/>
  <c r="D12" i="33"/>
  <c r="C40" i="33"/>
  <c r="C39" i="33" s="1"/>
  <c r="C38" i="33"/>
  <c r="C36" i="33"/>
  <c r="C35" i="33"/>
  <c r="C34" i="33"/>
  <c r="C31" i="33"/>
  <c r="C30" i="33"/>
  <c r="C29" i="33"/>
  <c r="C28" i="33"/>
  <c r="C27" i="33"/>
  <c r="C25" i="33"/>
  <c r="C22" i="33"/>
  <c r="C21" i="33"/>
  <c r="C20" i="33"/>
  <c r="C19" i="33"/>
  <c r="C18" i="33"/>
  <c r="C15" i="33"/>
  <c r="C14" i="33"/>
  <c r="C13" i="33"/>
  <c r="C12" i="33"/>
  <c r="A116" i="32" a="1"/>
  <c r="A116" i="32" s="1"/>
  <c r="H50" i="32"/>
  <c r="G50" i="32"/>
  <c r="F50" i="32"/>
  <c r="E8" i="32"/>
  <c r="B12" i="32"/>
  <c r="B8" i="32"/>
  <c r="B7" i="32"/>
  <c r="I45" i="30"/>
  <c r="H45" i="30"/>
  <c r="G45" i="30"/>
  <c r="F45" i="30"/>
  <c r="E9" i="30"/>
  <c r="B12" i="30"/>
  <c r="B8" i="30"/>
  <c r="B7" i="30"/>
  <c r="B14" i="27"/>
  <c r="B13" i="27"/>
  <c r="B16" i="27" s="1"/>
  <c r="F169" i="25"/>
  <c r="G168" i="25"/>
  <c r="F168" i="25"/>
  <c r="E168" i="25"/>
  <c r="C168" i="25"/>
  <c r="G167" i="25"/>
  <c r="F167" i="25"/>
  <c r="E167" i="25"/>
  <c r="C167" i="25"/>
  <c r="G166" i="25"/>
  <c r="F166" i="25"/>
  <c r="E166" i="25"/>
  <c r="C166" i="25"/>
  <c r="G165" i="25"/>
  <c r="F165" i="25"/>
  <c r="E165" i="25"/>
  <c r="C165" i="25"/>
  <c r="G164" i="25"/>
  <c r="F164" i="25"/>
  <c r="E164" i="25"/>
  <c r="C164" i="25"/>
  <c r="G163" i="25"/>
  <c r="F163" i="25"/>
  <c r="E163" i="25"/>
  <c r="C163" i="25"/>
  <c r="G162" i="25"/>
  <c r="F162" i="25"/>
  <c r="E162" i="25"/>
  <c r="C162" i="25"/>
  <c r="G161" i="25"/>
  <c r="F161" i="25"/>
  <c r="E161" i="25"/>
  <c r="C161" i="25"/>
  <c r="G160" i="25"/>
  <c r="F160" i="25"/>
  <c r="E160" i="25"/>
  <c r="C160" i="25"/>
  <c r="G159" i="25"/>
  <c r="F159" i="25"/>
  <c r="E159" i="25"/>
  <c r="C159" i="25"/>
  <c r="G158" i="25"/>
  <c r="F158" i="25"/>
  <c r="E158" i="25"/>
  <c r="C158" i="25"/>
  <c r="G157" i="25"/>
  <c r="F157" i="25"/>
  <c r="E157" i="25"/>
  <c r="C157" i="25"/>
  <c r="G156" i="25"/>
  <c r="F156" i="25"/>
  <c r="E156" i="25"/>
  <c r="C156" i="25"/>
  <c r="G155" i="25"/>
  <c r="F155" i="25"/>
  <c r="E155" i="25"/>
  <c r="C155" i="25"/>
  <c r="G154" i="25"/>
  <c r="F154" i="25"/>
  <c r="E154" i="25"/>
  <c r="C154" i="25"/>
  <c r="G153" i="25"/>
  <c r="F153" i="25"/>
  <c r="E153" i="25"/>
  <c r="C153" i="25"/>
  <c r="G152" i="25"/>
  <c r="F152" i="25"/>
  <c r="E152" i="25"/>
  <c r="C152" i="25"/>
  <c r="G151" i="25"/>
  <c r="F151" i="25"/>
  <c r="E151" i="25"/>
  <c r="C151" i="25"/>
  <c r="G150" i="25"/>
  <c r="F150" i="25"/>
  <c r="E150" i="25"/>
  <c r="C150" i="25"/>
  <c r="K55" i="26"/>
  <c r="J55" i="26"/>
  <c r="I55" i="26"/>
  <c r="H55" i="26"/>
  <c r="G55" i="26"/>
  <c r="F55" i="26"/>
  <c r="E55" i="26"/>
  <c r="D55" i="26"/>
  <c r="K54" i="26"/>
  <c r="J54" i="26"/>
  <c r="I54" i="26"/>
  <c r="H54" i="26"/>
  <c r="G54" i="26"/>
  <c r="F54" i="26"/>
  <c r="E54" i="26"/>
  <c r="D54" i="26"/>
  <c r="K53" i="26"/>
  <c r="J53" i="26"/>
  <c r="I53" i="26"/>
  <c r="H53" i="26"/>
  <c r="G53" i="26"/>
  <c r="F53" i="26"/>
  <c r="E53" i="26"/>
  <c r="D53" i="26"/>
  <c r="K52" i="26"/>
  <c r="J52" i="26"/>
  <c r="I52" i="26"/>
  <c r="H52" i="26"/>
  <c r="G52" i="26"/>
  <c r="F52" i="26"/>
  <c r="E52" i="26"/>
  <c r="D52" i="26"/>
  <c r="K51" i="26"/>
  <c r="J51" i="26"/>
  <c r="I51" i="26"/>
  <c r="H51" i="26"/>
  <c r="G51" i="26"/>
  <c r="F51" i="26"/>
  <c r="E51" i="26"/>
  <c r="D51" i="26"/>
  <c r="K50" i="26"/>
  <c r="J50" i="26"/>
  <c r="I50" i="26"/>
  <c r="H50" i="26"/>
  <c r="G50" i="26"/>
  <c r="F50" i="26"/>
  <c r="E50" i="26"/>
  <c r="D50" i="26"/>
  <c r="K49" i="26"/>
  <c r="J49" i="26"/>
  <c r="I49" i="26"/>
  <c r="H49" i="26"/>
  <c r="G49" i="26"/>
  <c r="F49" i="26"/>
  <c r="E49" i="26"/>
  <c r="D49" i="26"/>
  <c r="K48" i="26"/>
  <c r="J48" i="26"/>
  <c r="I48" i="26"/>
  <c r="H48" i="26"/>
  <c r="G48" i="26"/>
  <c r="F48" i="26"/>
  <c r="E48" i="26"/>
  <c r="D48" i="26"/>
  <c r="K47" i="26"/>
  <c r="J47" i="26"/>
  <c r="I47" i="26"/>
  <c r="H47" i="26"/>
  <c r="G47" i="26"/>
  <c r="F47" i="26"/>
  <c r="E47" i="26"/>
  <c r="D47" i="26"/>
  <c r="K46" i="26"/>
  <c r="J46" i="26"/>
  <c r="I46" i="26"/>
  <c r="H46" i="26"/>
  <c r="G46" i="26"/>
  <c r="F46" i="26"/>
  <c r="E46" i="26"/>
  <c r="D46" i="26"/>
  <c r="K45" i="26"/>
  <c r="J45" i="26"/>
  <c r="I45" i="26"/>
  <c r="H45" i="26"/>
  <c r="G45" i="26"/>
  <c r="F45" i="26"/>
  <c r="E45" i="26"/>
  <c r="D45" i="26"/>
  <c r="K44" i="26"/>
  <c r="J44" i="26"/>
  <c r="I44" i="26"/>
  <c r="H44" i="26"/>
  <c r="G44" i="26"/>
  <c r="F44" i="26"/>
  <c r="E44" i="26"/>
  <c r="D44" i="26"/>
  <c r="K43" i="26"/>
  <c r="J43" i="26"/>
  <c r="I43" i="26"/>
  <c r="H43" i="26"/>
  <c r="G43" i="26"/>
  <c r="F43" i="26"/>
  <c r="E43" i="26"/>
  <c r="D43" i="26"/>
  <c r="K42" i="26"/>
  <c r="J42" i="26"/>
  <c r="I42" i="26"/>
  <c r="H42" i="26"/>
  <c r="G42" i="26"/>
  <c r="F42" i="26"/>
  <c r="E42" i="26"/>
  <c r="D42" i="26"/>
  <c r="K41" i="26"/>
  <c r="J41" i="26"/>
  <c r="I41" i="26"/>
  <c r="H41" i="26"/>
  <c r="G41" i="26"/>
  <c r="F41" i="26"/>
  <c r="E41" i="26"/>
  <c r="D41" i="26"/>
  <c r="K40" i="26"/>
  <c r="J40" i="26"/>
  <c r="I40" i="26"/>
  <c r="H40" i="26"/>
  <c r="G40" i="26"/>
  <c r="F40" i="26"/>
  <c r="E40" i="26"/>
  <c r="D40" i="26"/>
  <c r="K39" i="26"/>
  <c r="J39" i="26"/>
  <c r="I39" i="26"/>
  <c r="H39" i="26"/>
  <c r="G39" i="26"/>
  <c r="F39" i="26"/>
  <c r="E39" i="26"/>
  <c r="D39" i="26"/>
  <c r="K38" i="26"/>
  <c r="J38" i="26"/>
  <c r="I38" i="26"/>
  <c r="H38" i="26"/>
  <c r="G38" i="26"/>
  <c r="F38" i="26"/>
  <c r="E38" i="26"/>
  <c r="D38" i="26"/>
  <c r="K37" i="26"/>
  <c r="J37" i="26"/>
  <c r="I37" i="26"/>
  <c r="H37" i="26"/>
  <c r="G37" i="26"/>
  <c r="F37" i="26"/>
  <c r="E37" i="26"/>
  <c r="D37" i="26"/>
  <c r="K36" i="26"/>
  <c r="J36" i="26"/>
  <c r="I36" i="26"/>
  <c r="H36" i="26"/>
  <c r="G36" i="26"/>
  <c r="F36" i="26"/>
  <c r="E36" i="26"/>
  <c r="D36" i="26"/>
  <c r="K35" i="26"/>
  <c r="J35" i="26"/>
  <c r="I35" i="26"/>
  <c r="H35" i="26"/>
  <c r="G35" i="26"/>
  <c r="F35" i="26"/>
  <c r="E35" i="26"/>
  <c r="D35" i="26"/>
  <c r="K34" i="26"/>
  <c r="J34" i="26"/>
  <c r="I34" i="26"/>
  <c r="H34" i="26"/>
  <c r="G34" i="26"/>
  <c r="F34" i="26"/>
  <c r="E34" i="26"/>
  <c r="D34" i="26"/>
  <c r="K33" i="26"/>
  <c r="J33" i="26"/>
  <c r="I33" i="26"/>
  <c r="H33" i="26"/>
  <c r="G33" i="26"/>
  <c r="F33" i="26"/>
  <c r="E33" i="26"/>
  <c r="D33" i="26"/>
  <c r="K32" i="26"/>
  <c r="J32" i="26"/>
  <c r="I32" i="26"/>
  <c r="H32" i="26"/>
  <c r="G32" i="26"/>
  <c r="F32" i="26"/>
  <c r="E32" i="26"/>
  <c r="D32" i="26"/>
  <c r="K31" i="26"/>
  <c r="J31" i="26"/>
  <c r="I31" i="26"/>
  <c r="H31" i="26"/>
  <c r="G31" i="26"/>
  <c r="F31" i="26"/>
  <c r="E31" i="26"/>
  <c r="D31" i="26"/>
  <c r="K30" i="26"/>
  <c r="J30" i="26"/>
  <c r="I30" i="26"/>
  <c r="H30" i="26"/>
  <c r="G30" i="26"/>
  <c r="F30" i="26"/>
  <c r="E30" i="26"/>
  <c r="D30" i="26"/>
  <c r="K29" i="26"/>
  <c r="J29" i="26"/>
  <c r="I29" i="26"/>
  <c r="H29" i="26"/>
  <c r="G29" i="26"/>
  <c r="F29" i="26"/>
  <c r="E29" i="26"/>
  <c r="D29" i="26"/>
  <c r="K28" i="26"/>
  <c r="J28" i="26"/>
  <c r="I28" i="26"/>
  <c r="H28" i="26"/>
  <c r="G28" i="26"/>
  <c r="F28" i="26"/>
  <c r="E28" i="26"/>
  <c r="D28" i="26"/>
  <c r="K27" i="26"/>
  <c r="J27" i="26"/>
  <c r="I27" i="26"/>
  <c r="H27" i="26"/>
  <c r="G27" i="26"/>
  <c r="F27" i="26"/>
  <c r="E27" i="26"/>
  <c r="D27" i="26"/>
  <c r="K26" i="26"/>
  <c r="J26" i="26"/>
  <c r="I26" i="26"/>
  <c r="H26" i="26"/>
  <c r="G26" i="26"/>
  <c r="F26" i="26"/>
  <c r="E26" i="26"/>
  <c r="D26" i="26"/>
  <c r="K25" i="26"/>
  <c r="J25" i="26"/>
  <c r="I25" i="26"/>
  <c r="H25" i="26"/>
  <c r="G25" i="26"/>
  <c r="F25" i="26"/>
  <c r="E25" i="26"/>
  <c r="D25" i="26"/>
  <c r="K24" i="26"/>
  <c r="J24" i="26"/>
  <c r="I24" i="26"/>
  <c r="H24" i="26"/>
  <c r="G24" i="26"/>
  <c r="F24" i="26"/>
  <c r="E24" i="26"/>
  <c r="D24" i="26"/>
  <c r="K23" i="26"/>
  <c r="J23" i="26"/>
  <c r="I23" i="26"/>
  <c r="H23" i="26"/>
  <c r="G23" i="26"/>
  <c r="F23" i="26"/>
  <c r="E23" i="26"/>
  <c r="D23" i="26"/>
  <c r="K22" i="26"/>
  <c r="J22" i="26"/>
  <c r="I22" i="26"/>
  <c r="H22" i="26"/>
  <c r="G22" i="26"/>
  <c r="F22" i="26"/>
  <c r="E22" i="26"/>
  <c r="D22" i="26"/>
  <c r="K21" i="26"/>
  <c r="J21" i="26"/>
  <c r="I21" i="26"/>
  <c r="H21" i="26"/>
  <c r="G21" i="26"/>
  <c r="F21" i="26"/>
  <c r="E21" i="26"/>
  <c r="D21" i="26"/>
  <c r="K20" i="26"/>
  <c r="J20" i="26"/>
  <c r="I20" i="26"/>
  <c r="H20" i="26"/>
  <c r="G20" i="26"/>
  <c r="F20" i="26"/>
  <c r="E20" i="26"/>
  <c r="D20" i="26"/>
  <c r="K19" i="26"/>
  <c r="J19" i="26"/>
  <c r="I19" i="26"/>
  <c r="H19" i="26"/>
  <c r="G19" i="26"/>
  <c r="F19" i="26"/>
  <c r="E19" i="26"/>
  <c r="D19" i="26"/>
  <c r="K18" i="26"/>
  <c r="J18" i="26"/>
  <c r="I18" i="26"/>
  <c r="H18" i="26"/>
  <c r="G18" i="26"/>
  <c r="F18" i="26"/>
  <c r="E18" i="26"/>
  <c r="D18" i="26"/>
  <c r="K17" i="26"/>
  <c r="J17" i="26"/>
  <c r="I17" i="26"/>
  <c r="H17" i="26"/>
  <c r="G17" i="26"/>
  <c r="F17" i="26"/>
  <c r="E17" i="26"/>
  <c r="D17" i="26"/>
  <c r="K16" i="26"/>
  <c r="J16" i="26"/>
  <c r="I16" i="26"/>
  <c r="H16" i="26"/>
  <c r="G16" i="26"/>
  <c r="F16" i="26"/>
  <c r="E16" i="26"/>
  <c r="D16" i="26"/>
  <c r="K15" i="26"/>
  <c r="J15" i="26"/>
  <c r="I15" i="26"/>
  <c r="H15" i="26"/>
  <c r="G15" i="26"/>
  <c r="F15" i="26"/>
  <c r="E15" i="26"/>
  <c r="D15" i="26"/>
  <c r="K14" i="26"/>
  <c r="J14" i="26"/>
  <c r="I14" i="26"/>
  <c r="H14" i="26"/>
  <c r="G14" i="26"/>
  <c r="F14" i="26"/>
  <c r="E14" i="26"/>
  <c r="D14" i="26"/>
  <c r="K13" i="26"/>
  <c r="J13" i="26"/>
  <c r="I13" i="26"/>
  <c r="H13" i="26"/>
  <c r="G13" i="26"/>
  <c r="F13" i="26"/>
  <c r="E13" i="26"/>
  <c r="D13" i="26"/>
  <c r="K12" i="26"/>
  <c r="J12" i="26"/>
  <c r="I12" i="26"/>
  <c r="H12" i="26"/>
  <c r="G12" i="26"/>
  <c r="F12" i="26"/>
  <c r="E12" i="26"/>
  <c r="D12" i="26"/>
  <c r="B56" i="25"/>
  <c r="B55" i="25"/>
  <c r="B54" i="25"/>
  <c r="B53" i="25"/>
  <c r="B51" i="25"/>
  <c r="J47" i="25"/>
  <c r="J46" i="25"/>
  <c r="J45" i="25"/>
  <c r="J44" i="25"/>
  <c r="J43" i="25"/>
  <c r="J42" i="25"/>
  <c r="J41" i="25"/>
  <c r="J40" i="25"/>
  <c r="J39" i="25"/>
  <c r="J38" i="25"/>
  <c r="J37" i="25"/>
  <c r="J36" i="25"/>
  <c r="J35" i="25"/>
  <c r="J34" i="25"/>
  <c r="J33" i="25"/>
  <c r="J32" i="25"/>
  <c r="J31" i="25"/>
  <c r="J30" i="25"/>
  <c r="J29" i="25"/>
  <c r="J28" i="25"/>
  <c r="J27" i="25"/>
  <c r="J26" i="25"/>
  <c r="J25" i="25"/>
  <c r="J24" i="25"/>
  <c r="J23" i="25"/>
  <c r="J22" i="25"/>
  <c r="J21" i="25"/>
  <c r="J20" i="25"/>
  <c r="J19" i="25"/>
  <c r="J18" i="25"/>
  <c r="J17" i="25"/>
  <c r="J16" i="25"/>
  <c r="J15" i="25"/>
  <c r="J14" i="25"/>
  <c r="H47" i="25"/>
  <c r="I47" i="25" s="1"/>
  <c r="E47" i="25"/>
  <c r="H46" i="25"/>
  <c r="I46" i="25" s="1"/>
  <c r="E46" i="25"/>
  <c r="H45" i="25"/>
  <c r="I45" i="25" s="1"/>
  <c r="E45" i="25"/>
  <c r="H44" i="25"/>
  <c r="I44" i="25" s="1"/>
  <c r="E44" i="25"/>
  <c r="H43" i="25"/>
  <c r="I43" i="25" s="1"/>
  <c r="E43" i="25"/>
  <c r="H42" i="25"/>
  <c r="I42" i="25" s="1"/>
  <c r="E42" i="25"/>
  <c r="I41" i="25"/>
  <c r="H41" i="25"/>
  <c r="E41" i="25"/>
  <c r="H40" i="25"/>
  <c r="I40" i="25" s="1"/>
  <c r="E40" i="25"/>
  <c r="H39" i="25"/>
  <c r="I39" i="25" s="1"/>
  <c r="E39" i="25"/>
  <c r="H38" i="25"/>
  <c r="I38" i="25" s="1"/>
  <c r="E38" i="25"/>
  <c r="H37" i="25"/>
  <c r="I37" i="25" s="1"/>
  <c r="E37" i="25"/>
  <c r="H36" i="25"/>
  <c r="I36" i="25" s="1"/>
  <c r="E36" i="25"/>
  <c r="H35" i="25"/>
  <c r="I35" i="25" s="1"/>
  <c r="E35" i="25"/>
  <c r="H34" i="25"/>
  <c r="I34" i="25" s="1"/>
  <c r="E34" i="25"/>
  <c r="H33" i="25"/>
  <c r="I33" i="25" s="1"/>
  <c r="E33" i="25"/>
  <c r="I32" i="25"/>
  <c r="H32" i="25"/>
  <c r="E32" i="25"/>
  <c r="H31" i="25"/>
  <c r="I31" i="25" s="1"/>
  <c r="E31" i="25"/>
  <c r="H30" i="25"/>
  <c r="I30" i="25" s="1"/>
  <c r="E30" i="25"/>
  <c r="H29" i="25"/>
  <c r="I29" i="25" s="1"/>
  <c r="E29" i="25"/>
  <c r="H28" i="25"/>
  <c r="I28" i="25" s="1"/>
  <c r="E28" i="25"/>
  <c r="H27" i="25"/>
  <c r="I27" i="25" s="1"/>
  <c r="E27" i="25"/>
  <c r="I26" i="25"/>
  <c r="H26" i="25"/>
  <c r="E26" i="25"/>
  <c r="H25" i="25"/>
  <c r="I25" i="25" s="1"/>
  <c r="E25" i="25"/>
  <c r="H24" i="25"/>
  <c r="I24" i="25" s="1"/>
  <c r="E24" i="25"/>
  <c r="H23" i="25"/>
  <c r="I23" i="25" s="1"/>
  <c r="E23" i="25"/>
  <c r="I22" i="25"/>
  <c r="H22" i="25"/>
  <c r="E22" i="25"/>
  <c r="H21" i="25"/>
  <c r="I21" i="25" s="1"/>
  <c r="E21" i="25"/>
  <c r="H20" i="25"/>
  <c r="I20" i="25" s="1"/>
  <c r="E20" i="25"/>
  <c r="H19" i="25"/>
  <c r="I19" i="25" s="1"/>
  <c r="E19" i="25"/>
  <c r="H18" i="25"/>
  <c r="I18" i="25" s="1"/>
  <c r="E18" i="25"/>
  <c r="H17" i="25"/>
  <c r="I17" i="25" s="1"/>
  <c r="E17" i="25"/>
  <c r="H16" i="25"/>
  <c r="I16" i="25" s="1"/>
  <c r="E16" i="25"/>
  <c r="H15" i="25"/>
  <c r="I15" i="25" s="1"/>
  <c r="E15" i="25"/>
  <c r="H14" i="25"/>
  <c r="I14" i="25" s="1"/>
  <c r="E14" i="25"/>
  <c r="H24" i="24"/>
  <c r="H30" i="23"/>
  <c r="J42" i="22"/>
  <c r="G42" i="22"/>
  <c r="J41" i="22"/>
  <c r="G41" i="22"/>
  <c r="J40" i="22"/>
  <c r="G40" i="22"/>
  <c r="J39" i="22"/>
  <c r="G39" i="22"/>
  <c r="J38" i="22"/>
  <c r="G38" i="22"/>
  <c r="J37" i="22"/>
  <c r="G37" i="22"/>
  <c r="J36" i="22"/>
  <c r="G36" i="22"/>
  <c r="J35" i="22"/>
  <c r="G35" i="22"/>
  <c r="J34" i="22"/>
  <c r="G34" i="22"/>
  <c r="J33" i="22"/>
  <c r="G33" i="22"/>
  <c r="J32" i="22"/>
  <c r="G32" i="22"/>
  <c r="J31" i="22"/>
  <c r="G31" i="22"/>
  <c r="J30" i="22"/>
  <c r="G30" i="22"/>
  <c r="J29" i="22"/>
  <c r="G29" i="22"/>
  <c r="J28" i="22"/>
  <c r="G28" i="22"/>
  <c r="J27" i="22"/>
  <c r="G27" i="22"/>
  <c r="J26" i="22"/>
  <c r="G26" i="22"/>
  <c r="J25" i="22"/>
  <c r="G25" i="22"/>
  <c r="J24" i="22"/>
  <c r="G24" i="22"/>
  <c r="J23" i="22"/>
  <c r="G23" i="22"/>
  <c r="J22" i="22"/>
  <c r="G22" i="22"/>
  <c r="J21" i="22"/>
  <c r="G21" i="22"/>
  <c r="J20" i="22"/>
  <c r="G20" i="22"/>
  <c r="J19" i="22"/>
  <c r="G19" i="22"/>
  <c r="J18" i="22"/>
  <c r="G18" i="22"/>
  <c r="B73" i="22"/>
  <c r="B66" i="22"/>
  <c r="B65" i="22"/>
  <c r="B58" i="22"/>
  <c r="B57" i="22"/>
  <c r="I42" i="22"/>
  <c r="H42" i="22"/>
  <c r="F42" i="22"/>
  <c r="E42" i="22"/>
  <c r="D42" i="22"/>
  <c r="C42" i="22"/>
  <c r="I41" i="22"/>
  <c r="H41" i="22"/>
  <c r="F41" i="22"/>
  <c r="E41" i="22"/>
  <c r="D41" i="22"/>
  <c r="C41" i="22"/>
  <c r="I40" i="22"/>
  <c r="H40" i="22"/>
  <c r="F40" i="22"/>
  <c r="E40" i="22"/>
  <c r="D40" i="22"/>
  <c r="C40" i="22"/>
  <c r="I39" i="22"/>
  <c r="H39" i="22"/>
  <c r="F39" i="22"/>
  <c r="E39" i="22"/>
  <c r="D39" i="22"/>
  <c r="C39" i="22"/>
  <c r="I38" i="22"/>
  <c r="H38" i="22"/>
  <c r="F38" i="22"/>
  <c r="E38" i="22"/>
  <c r="D38" i="22"/>
  <c r="C38" i="22"/>
  <c r="I37" i="22"/>
  <c r="H37" i="22"/>
  <c r="F37" i="22"/>
  <c r="E37" i="22"/>
  <c r="D37" i="22"/>
  <c r="C37" i="22"/>
  <c r="I36" i="22"/>
  <c r="H36" i="22"/>
  <c r="F36" i="22"/>
  <c r="E36" i="22"/>
  <c r="D36" i="22"/>
  <c r="C36" i="22"/>
  <c r="I35" i="22"/>
  <c r="H35" i="22"/>
  <c r="F35" i="22"/>
  <c r="E35" i="22"/>
  <c r="D35" i="22"/>
  <c r="C35" i="22"/>
  <c r="I34" i="22"/>
  <c r="H34" i="22"/>
  <c r="F34" i="22"/>
  <c r="E34" i="22"/>
  <c r="D34" i="22"/>
  <c r="C34" i="22"/>
  <c r="I33" i="22"/>
  <c r="H33" i="22"/>
  <c r="F33" i="22"/>
  <c r="E33" i="22"/>
  <c r="D33" i="22"/>
  <c r="C33" i="22"/>
  <c r="I32" i="22"/>
  <c r="H32" i="22"/>
  <c r="F32" i="22"/>
  <c r="E32" i="22"/>
  <c r="D32" i="22"/>
  <c r="C32" i="22"/>
  <c r="I31" i="22"/>
  <c r="H31" i="22"/>
  <c r="F31" i="22"/>
  <c r="E31" i="22"/>
  <c r="D31" i="22"/>
  <c r="C31" i="22"/>
  <c r="I30" i="22"/>
  <c r="H30" i="22"/>
  <c r="F30" i="22"/>
  <c r="E30" i="22"/>
  <c r="D30" i="22"/>
  <c r="C30" i="22"/>
  <c r="I29" i="22"/>
  <c r="H29" i="22"/>
  <c r="F29" i="22"/>
  <c r="E29" i="22"/>
  <c r="D29" i="22"/>
  <c r="C29" i="22"/>
  <c r="I28" i="22"/>
  <c r="H28" i="22"/>
  <c r="F28" i="22"/>
  <c r="E28" i="22"/>
  <c r="D28" i="22"/>
  <c r="C28" i="22"/>
  <c r="I27" i="22"/>
  <c r="H27" i="22"/>
  <c r="F27" i="22"/>
  <c r="E27" i="22"/>
  <c r="D27" i="22"/>
  <c r="C27" i="22"/>
  <c r="I26" i="22"/>
  <c r="H26" i="22"/>
  <c r="F26" i="22"/>
  <c r="E26" i="22"/>
  <c r="D26" i="22"/>
  <c r="C26" i="22"/>
  <c r="I25" i="22"/>
  <c r="H25" i="22"/>
  <c r="F25" i="22"/>
  <c r="E25" i="22"/>
  <c r="D25" i="22"/>
  <c r="C25" i="22"/>
  <c r="I24" i="22"/>
  <c r="H24" i="22"/>
  <c r="F24" i="22"/>
  <c r="E24" i="22"/>
  <c r="D24" i="22"/>
  <c r="C24" i="22"/>
  <c r="I23" i="22"/>
  <c r="H23" i="22"/>
  <c r="F23" i="22"/>
  <c r="E23" i="22"/>
  <c r="D23" i="22"/>
  <c r="C23" i="22"/>
  <c r="I22" i="22"/>
  <c r="H22" i="22"/>
  <c r="F22" i="22"/>
  <c r="E22" i="22"/>
  <c r="D22" i="22"/>
  <c r="C22" i="22"/>
  <c r="I21" i="22"/>
  <c r="H21" i="22"/>
  <c r="F21" i="22"/>
  <c r="E21" i="22"/>
  <c r="D21" i="22"/>
  <c r="C21" i="22"/>
  <c r="I20" i="22"/>
  <c r="H20" i="22"/>
  <c r="F20" i="22"/>
  <c r="E20" i="22"/>
  <c r="D20" i="22"/>
  <c r="C20" i="22"/>
  <c r="I19" i="22"/>
  <c r="H19" i="22"/>
  <c r="F19" i="22"/>
  <c r="E19" i="22"/>
  <c r="D19" i="22"/>
  <c r="C19" i="22"/>
  <c r="I18" i="22"/>
  <c r="H18" i="22"/>
  <c r="F18" i="22"/>
  <c r="E18" i="22"/>
  <c r="D18" i="22"/>
  <c r="C18" i="22"/>
  <c r="B6" i="22"/>
  <c r="R24" i="21" a="1"/>
  <c r="R24" i="21" s="1"/>
  <c r="I53" i="21"/>
  <c r="J53" i="21" s="1"/>
  <c r="C53" i="21"/>
  <c r="K53" i="21" s="1"/>
  <c r="I52" i="21"/>
  <c r="J52" i="21" s="1"/>
  <c r="C52" i="21"/>
  <c r="K52" i="21" s="1"/>
  <c r="I51" i="21"/>
  <c r="J51" i="21" s="1"/>
  <c r="C51" i="21"/>
  <c r="K51" i="21" s="1"/>
  <c r="I50" i="21"/>
  <c r="J50" i="21" s="1"/>
  <c r="C50" i="21"/>
  <c r="K50" i="21" s="1"/>
  <c r="I49" i="21"/>
  <c r="J49" i="21" s="1"/>
  <c r="C49" i="21"/>
  <c r="K49" i="21" s="1"/>
  <c r="I48" i="21"/>
  <c r="J48" i="21" s="1"/>
  <c r="C48" i="21"/>
  <c r="K48" i="21" s="1"/>
  <c r="I47" i="21"/>
  <c r="J47" i="21" s="1"/>
  <c r="C47" i="21"/>
  <c r="K47" i="21" s="1"/>
  <c r="I46" i="21"/>
  <c r="J46" i="21" s="1"/>
  <c r="C46" i="21"/>
  <c r="K46" i="21" s="1"/>
  <c r="I45" i="21"/>
  <c r="J45" i="21" s="1"/>
  <c r="C45" i="21"/>
  <c r="K45" i="21" s="1"/>
  <c r="I44" i="21"/>
  <c r="J44" i="21" s="1"/>
  <c r="C44" i="21"/>
  <c r="K44" i="21" s="1"/>
  <c r="I43" i="21"/>
  <c r="J43" i="21" s="1"/>
  <c r="C43" i="21"/>
  <c r="K43" i="21" s="1"/>
  <c r="I42" i="21"/>
  <c r="J42" i="21" s="1"/>
  <c r="C42" i="21"/>
  <c r="K42" i="21" s="1"/>
  <c r="I41" i="21"/>
  <c r="J41" i="21" s="1"/>
  <c r="C41" i="21"/>
  <c r="K41" i="21" s="1"/>
  <c r="I40" i="21"/>
  <c r="J40" i="21" s="1"/>
  <c r="C40" i="21"/>
  <c r="K40" i="21" s="1"/>
  <c r="I39" i="21"/>
  <c r="J39" i="21" s="1"/>
  <c r="C39" i="21"/>
  <c r="K39" i="21" s="1"/>
  <c r="I38" i="21"/>
  <c r="J38" i="21" s="1"/>
  <c r="C38" i="21"/>
  <c r="K38" i="21" s="1"/>
  <c r="I37" i="21"/>
  <c r="J37" i="21" s="1"/>
  <c r="C37" i="21"/>
  <c r="K37" i="21" s="1"/>
  <c r="I36" i="21"/>
  <c r="J36" i="21" s="1"/>
  <c r="C36" i="21"/>
  <c r="K36" i="21" s="1"/>
  <c r="I35" i="21"/>
  <c r="J35" i="21" s="1"/>
  <c r="C35" i="21"/>
  <c r="K35" i="21" s="1"/>
  <c r="I34" i="21"/>
  <c r="J34" i="21" s="1"/>
  <c r="C34" i="21"/>
  <c r="K34" i="21" s="1"/>
  <c r="I33" i="21"/>
  <c r="J33" i="21" s="1"/>
  <c r="C33" i="21"/>
  <c r="K33" i="21" s="1"/>
  <c r="I32" i="21"/>
  <c r="J32" i="21" s="1"/>
  <c r="C32" i="21"/>
  <c r="K32" i="21" s="1"/>
  <c r="I31" i="21"/>
  <c r="J31" i="21" s="1"/>
  <c r="C31" i="21"/>
  <c r="K31" i="21" s="1"/>
  <c r="I30" i="21"/>
  <c r="J30" i="21" s="1"/>
  <c r="C30" i="21"/>
  <c r="K30" i="21" s="1"/>
  <c r="I29" i="21"/>
  <c r="J29" i="21" s="1"/>
  <c r="C29" i="21"/>
  <c r="K29" i="21" s="1"/>
  <c r="I28" i="21"/>
  <c r="J28" i="21" s="1"/>
  <c r="C28" i="21"/>
  <c r="K28" i="21" s="1"/>
  <c r="I27" i="21"/>
  <c r="J27" i="21" s="1"/>
  <c r="C27" i="21"/>
  <c r="K27" i="21" s="1"/>
  <c r="I26" i="21"/>
  <c r="J26" i="21" s="1"/>
  <c r="C26" i="21"/>
  <c r="K26" i="21" s="1"/>
  <c r="I25" i="21"/>
  <c r="J25" i="21" s="1"/>
  <c r="C25" i="21"/>
  <c r="K25" i="21" s="1"/>
  <c r="I24" i="21"/>
  <c r="J24" i="21" s="1"/>
  <c r="C24" i="21"/>
  <c r="K24" i="21" s="1"/>
  <c r="I23" i="21"/>
  <c r="J23" i="21" s="1"/>
  <c r="C23" i="21"/>
  <c r="K23" i="21" s="1"/>
  <c r="I22" i="21"/>
  <c r="J22" i="21" s="1"/>
  <c r="C22" i="21"/>
  <c r="K22" i="21" s="1"/>
  <c r="I21" i="21"/>
  <c r="J21" i="21" s="1"/>
  <c r="C21" i="21"/>
  <c r="K21" i="21" s="1"/>
  <c r="I20" i="21"/>
  <c r="J20" i="21" s="1"/>
  <c r="C20" i="21"/>
  <c r="K20" i="21" s="1"/>
  <c r="I19" i="21"/>
  <c r="J19" i="21" s="1"/>
  <c r="C19" i="21"/>
  <c r="K19" i="21" s="1"/>
  <c r="I18" i="21"/>
  <c r="J18" i="21" s="1"/>
  <c r="C18" i="21"/>
  <c r="K18" i="21" s="1"/>
  <c r="I17" i="21"/>
  <c r="J17" i="21" s="1"/>
  <c r="C17" i="21"/>
  <c r="K17" i="21" s="1"/>
  <c r="I16" i="21"/>
  <c r="J16" i="21" s="1"/>
  <c r="C16" i="21"/>
  <c r="K16" i="21" s="1"/>
  <c r="I15" i="21"/>
  <c r="J15" i="21" s="1"/>
  <c r="C15" i="21"/>
  <c r="K15" i="21" s="1"/>
  <c r="I14" i="21"/>
  <c r="J14" i="21" s="1"/>
  <c r="C14" i="21"/>
  <c r="K14" i="21" s="1"/>
  <c r="I13" i="21"/>
  <c r="J13" i="21" s="1"/>
  <c r="C13" i="21"/>
  <c r="K13" i="21" s="1"/>
  <c r="I12" i="21"/>
  <c r="J12" i="21" s="1"/>
  <c r="C12" i="21"/>
  <c r="K12" i="21" s="1"/>
  <c r="I11" i="21"/>
  <c r="J11" i="21" s="1"/>
  <c r="C11" i="21"/>
  <c r="K11" i="21" s="1"/>
  <c r="I10" i="21"/>
  <c r="J10" i="21" s="1"/>
  <c r="C10" i="21"/>
  <c r="K10" i="21" s="1"/>
  <c r="I9" i="21"/>
  <c r="J9" i="21" s="1"/>
  <c r="C9" i="21"/>
  <c r="K9" i="21" s="1"/>
  <c r="I8" i="21"/>
  <c r="J8" i="21" s="1"/>
  <c r="C8" i="21"/>
  <c r="K8" i="21" s="1"/>
  <c r="I7" i="21"/>
  <c r="J7" i="21" s="1"/>
  <c r="C7" i="21"/>
  <c r="K7" i="21" s="1"/>
  <c r="I6" i="21"/>
  <c r="J6" i="21" s="1"/>
  <c r="C6" i="21"/>
  <c r="K6" i="21" s="1"/>
  <c r="I5" i="21"/>
  <c r="J5" i="21" s="1"/>
  <c r="C5" i="21"/>
  <c r="K5" i="21" s="1"/>
  <c r="Q28" i="21"/>
  <c r="D53" i="21" s="1"/>
  <c r="W12" i="20" a="1"/>
  <c r="W12" i="20" s="1"/>
  <c r="N19" i="20"/>
  <c r="O19" i="20" s="1"/>
  <c r="N18" i="20"/>
  <c r="O18" i="20" s="1"/>
  <c r="N17" i="20"/>
  <c r="O17" i="20" s="1"/>
  <c r="N16" i="20"/>
  <c r="O16" i="20" s="1"/>
  <c r="N15" i="20"/>
  <c r="O15" i="20" s="1"/>
  <c r="N14" i="20"/>
  <c r="O14" i="20" s="1"/>
  <c r="N13" i="20"/>
  <c r="O13" i="20" s="1"/>
  <c r="N12" i="20"/>
  <c r="O12" i="20" s="1"/>
  <c r="J15" i="20"/>
  <c r="K15" i="20" s="1"/>
  <c r="J14" i="20"/>
  <c r="K14" i="20" s="1"/>
  <c r="J13" i="20"/>
  <c r="K13" i="20" s="1"/>
  <c r="F60" i="20"/>
  <c r="C60" i="20"/>
  <c r="F59" i="20"/>
  <c r="C59" i="20"/>
  <c r="F58" i="20"/>
  <c r="C58" i="20"/>
  <c r="F57" i="20"/>
  <c r="C57" i="20"/>
  <c r="F56" i="20"/>
  <c r="C56" i="20"/>
  <c r="F55" i="20"/>
  <c r="C55" i="20"/>
  <c r="F54" i="20"/>
  <c r="C54" i="20"/>
  <c r="F53" i="20"/>
  <c r="C53" i="20"/>
  <c r="D53" i="20" s="1"/>
  <c r="E53" i="20" s="1"/>
  <c r="F52" i="20"/>
  <c r="C52" i="20"/>
  <c r="D52" i="20" s="1"/>
  <c r="E52" i="20" s="1"/>
  <c r="F51" i="20"/>
  <c r="C51" i="20"/>
  <c r="D51" i="20" s="1"/>
  <c r="E51" i="20" s="1"/>
  <c r="F50" i="20"/>
  <c r="C50" i="20"/>
  <c r="D50" i="20" s="1"/>
  <c r="E50" i="20" s="1"/>
  <c r="F49" i="20"/>
  <c r="C49" i="20"/>
  <c r="D49" i="20" s="1"/>
  <c r="E49" i="20" s="1"/>
  <c r="F48" i="20"/>
  <c r="C48" i="20"/>
  <c r="F47" i="20"/>
  <c r="C47" i="20"/>
  <c r="F46" i="20"/>
  <c r="C46" i="20"/>
  <c r="F45" i="20"/>
  <c r="C45" i="20"/>
  <c r="F44" i="20"/>
  <c r="C44" i="20"/>
  <c r="F43" i="20"/>
  <c r="C43" i="20"/>
  <c r="F42" i="20"/>
  <c r="C42" i="20"/>
  <c r="F41" i="20"/>
  <c r="C41" i="20"/>
  <c r="F40" i="20"/>
  <c r="C40" i="20"/>
  <c r="F39" i="20"/>
  <c r="C39" i="20"/>
  <c r="F38" i="20"/>
  <c r="C38" i="20"/>
  <c r="D38" i="20" s="1"/>
  <c r="E38" i="20" s="1"/>
  <c r="F37" i="20"/>
  <c r="C37" i="20"/>
  <c r="D37" i="20" s="1"/>
  <c r="E37" i="20" s="1"/>
  <c r="F36" i="20"/>
  <c r="C36" i="20"/>
  <c r="D36" i="20" s="1"/>
  <c r="E36" i="20" s="1"/>
  <c r="F35" i="20"/>
  <c r="C35" i="20"/>
  <c r="D35" i="20" s="1"/>
  <c r="E35" i="20" s="1"/>
  <c r="F34" i="20"/>
  <c r="C34" i="20"/>
  <c r="D34" i="20" s="1"/>
  <c r="E34" i="20" s="1"/>
  <c r="F33" i="20"/>
  <c r="C33" i="20"/>
  <c r="D33" i="20" s="1"/>
  <c r="E33" i="20" s="1"/>
  <c r="F32" i="20"/>
  <c r="C32" i="20"/>
  <c r="F31" i="20"/>
  <c r="C31" i="20"/>
  <c r="F30" i="20"/>
  <c r="C30" i="20"/>
  <c r="F29" i="20"/>
  <c r="C29" i="20"/>
  <c r="F28" i="20"/>
  <c r="C28" i="20"/>
  <c r="F27" i="20"/>
  <c r="C27" i="20"/>
  <c r="F26" i="20"/>
  <c r="C26" i="20"/>
  <c r="F25" i="20"/>
  <c r="C25" i="20"/>
  <c r="F24" i="20"/>
  <c r="C24" i="20"/>
  <c r="B18" i="20"/>
  <c r="N11" i="20" s="1"/>
  <c r="O11" i="20" s="1"/>
  <c r="V44" i="19"/>
  <c r="V43" i="19"/>
  <c r="V42" i="19"/>
  <c r="V41" i="19"/>
  <c r="V39" i="19"/>
  <c r="V37" i="19"/>
  <c r="V35" i="19"/>
  <c r="V33" i="19"/>
  <c r="V31" i="19"/>
  <c r="V29" i="19"/>
  <c r="V26" i="19"/>
  <c r="V24" i="19"/>
  <c r="V22" i="19"/>
  <c r="V20" i="19"/>
  <c r="V18" i="19"/>
  <c r="V16" i="19"/>
  <c r="V14" i="19"/>
  <c r="V10" i="19"/>
  <c r="U44" i="19"/>
  <c r="U43" i="19"/>
  <c r="U42" i="19"/>
  <c r="U41" i="19"/>
  <c r="U39" i="19"/>
  <c r="U37" i="19"/>
  <c r="U35" i="19"/>
  <c r="U33" i="19"/>
  <c r="U31" i="19"/>
  <c r="U29" i="19"/>
  <c r="U26" i="19"/>
  <c r="U24" i="19"/>
  <c r="U22" i="19"/>
  <c r="U20" i="19"/>
  <c r="U18" i="19"/>
  <c r="U16" i="19"/>
  <c r="U14" i="19"/>
  <c r="U10" i="19"/>
  <c r="T44" i="19"/>
  <c r="T43" i="19"/>
  <c r="T42" i="19"/>
  <c r="T41" i="19"/>
  <c r="T39" i="19"/>
  <c r="T37" i="19"/>
  <c r="T35" i="19"/>
  <c r="T33" i="19"/>
  <c r="T31" i="19"/>
  <c r="T29" i="19"/>
  <c r="T26" i="19"/>
  <c r="T24" i="19"/>
  <c r="T22" i="19"/>
  <c r="T20" i="19"/>
  <c r="T18" i="19"/>
  <c r="T16" i="19"/>
  <c r="T14" i="19"/>
  <c r="T10" i="19"/>
  <c r="S44" i="19"/>
  <c r="S43" i="19"/>
  <c r="S42" i="19"/>
  <c r="S41" i="19"/>
  <c r="S39" i="19"/>
  <c r="S37" i="19"/>
  <c r="S35" i="19"/>
  <c r="S33" i="19"/>
  <c r="S31" i="19"/>
  <c r="S29" i="19"/>
  <c r="S26" i="19"/>
  <c r="S24" i="19"/>
  <c r="S22" i="19"/>
  <c r="S20" i="19"/>
  <c r="S18" i="19"/>
  <c r="S16" i="19"/>
  <c r="S14" i="19"/>
  <c r="S10" i="19"/>
  <c r="R44" i="19"/>
  <c r="R43" i="19"/>
  <c r="R42" i="19"/>
  <c r="R41" i="19"/>
  <c r="R39" i="19"/>
  <c r="R37" i="19"/>
  <c r="R35" i="19"/>
  <c r="R33" i="19"/>
  <c r="R31" i="19"/>
  <c r="R29" i="19"/>
  <c r="R26" i="19"/>
  <c r="R24" i="19"/>
  <c r="R22" i="19"/>
  <c r="R20" i="19"/>
  <c r="R18" i="19"/>
  <c r="R16" i="19"/>
  <c r="R14" i="19"/>
  <c r="R10" i="19"/>
  <c r="Q44" i="19"/>
  <c r="Q43" i="19"/>
  <c r="Q42" i="19"/>
  <c r="Q41" i="19"/>
  <c r="Q39" i="19"/>
  <c r="Q37" i="19"/>
  <c r="Q35" i="19"/>
  <c r="Q33" i="19"/>
  <c r="Q31" i="19"/>
  <c r="Q29" i="19"/>
  <c r="Q26" i="19"/>
  <c r="Q24" i="19"/>
  <c r="Q22" i="19"/>
  <c r="Q20" i="19"/>
  <c r="Q18" i="19"/>
  <c r="Q16" i="19"/>
  <c r="Q14" i="19"/>
  <c r="Q10" i="19"/>
  <c r="P44" i="19"/>
  <c r="P43" i="19"/>
  <c r="P42" i="19"/>
  <c r="P41" i="19"/>
  <c r="P39" i="19"/>
  <c r="P37" i="19"/>
  <c r="P35" i="19"/>
  <c r="P33" i="19"/>
  <c r="P31" i="19"/>
  <c r="P29" i="19"/>
  <c r="P26" i="19"/>
  <c r="P24" i="19"/>
  <c r="P22" i="19"/>
  <c r="P20" i="19"/>
  <c r="P18" i="19"/>
  <c r="P16" i="19"/>
  <c r="P14" i="19"/>
  <c r="P10" i="19"/>
  <c r="O44" i="19"/>
  <c r="O43" i="19"/>
  <c r="O42" i="19"/>
  <c r="O41" i="19"/>
  <c r="O39" i="19"/>
  <c r="O37" i="19"/>
  <c r="O35" i="19"/>
  <c r="O33" i="19"/>
  <c r="O31" i="19"/>
  <c r="O29" i="19"/>
  <c r="O26" i="19"/>
  <c r="O24" i="19"/>
  <c r="O22" i="19"/>
  <c r="O20" i="19"/>
  <c r="O18" i="19"/>
  <c r="O16" i="19"/>
  <c r="O14" i="19"/>
  <c r="O10" i="19"/>
  <c r="N44" i="19"/>
  <c r="N43" i="19"/>
  <c r="N42" i="19"/>
  <c r="N41" i="19"/>
  <c r="N39" i="19"/>
  <c r="N37" i="19"/>
  <c r="N35" i="19"/>
  <c r="N33" i="19"/>
  <c r="N31" i="19"/>
  <c r="N29" i="19"/>
  <c r="N26" i="19"/>
  <c r="N24" i="19"/>
  <c r="N22" i="19"/>
  <c r="N20" i="19"/>
  <c r="N18" i="19"/>
  <c r="N16" i="19"/>
  <c r="N14" i="19"/>
  <c r="N10" i="19"/>
  <c r="M44" i="19"/>
  <c r="M43" i="19"/>
  <c r="M42" i="19"/>
  <c r="M41" i="19"/>
  <c r="M39" i="19"/>
  <c r="M37" i="19"/>
  <c r="M35" i="19"/>
  <c r="M33" i="19"/>
  <c r="M31" i="19"/>
  <c r="M29" i="19"/>
  <c r="M26" i="19"/>
  <c r="M24" i="19"/>
  <c r="M22" i="19"/>
  <c r="M20" i="19"/>
  <c r="M18" i="19"/>
  <c r="M16" i="19"/>
  <c r="M14" i="19"/>
  <c r="M10" i="19"/>
  <c r="L44" i="19"/>
  <c r="L43" i="19"/>
  <c r="L42" i="19"/>
  <c r="L41" i="19"/>
  <c r="L39" i="19"/>
  <c r="L37" i="19"/>
  <c r="L35" i="19"/>
  <c r="L33" i="19"/>
  <c r="L31" i="19"/>
  <c r="L29" i="19"/>
  <c r="L26" i="19"/>
  <c r="L24" i="19"/>
  <c r="L22" i="19"/>
  <c r="L20" i="19"/>
  <c r="L18" i="19"/>
  <c r="L16" i="19"/>
  <c r="L14" i="19"/>
  <c r="L10" i="19"/>
  <c r="K44" i="19"/>
  <c r="K43" i="19"/>
  <c r="K42" i="19"/>
  <c r="K41" i="19"/>
  <c r="K39" i="19"/>
  <c r="K37" i="19"/>
  <c r="K35" i="19"/>
  <c r="K33" i="19"/>
  <c r="K31" i="19"/>
  <c r="K29" i="19"/>
  <c r="K26" i="19"/>
  <c r="K24" i="19"/>
  <c r="K22" i="19"/>
  <c r="K20" i="19"/>
  <c r="K18" i="19"/>
  <c r="K16" i="19"/>
  <c r="K14" i="19"/>
  <c r="K10" i="19"/>
  <c r="J44" i="19"/>
  <c r="J43" i="19"/>
  <c r="J42" i="19"/>
  <c r="J41" i="19"/>
  <c r="J39" i="19"/>
  <c r="J37" i="19"/>
  <c r="J35" i="19"/>
  <c r="J33" i="19"/>
  <c r="J31" i="19"/>
  <c r="J29" i="19"/>
  <c r="J26" i="19"/>
  <c r="J24" i="19"/>
  <c r="J22" i="19"/>
  <c r="J20" i="19"/>
  <c r="J18" i="19"/>
  <c r="J16" i="19"/>
  <c r="J14" i="19"/>
  <c r="J10" i="19"/>
  <c r="I44" i="19"/>
  <c r="I43" i="19"/>
  <c r="I42" i="19"/>
  <c r="I41" i="19"/>
  <c r="I39" i="19"/>
  <c r="I37" i="19"/>
  <c r="I35" i="19"/>
  <c r="I33" i="19"/>
  <c r="I31" i="19"/>
  <c r="I29" i="19"/>
  <c r="I26" i="19"/>
  <c r="I24" i="19"/>
  <c r="I22" i="19"/>
  <c r="I20" i="19"/>
  <c r="I18" i="19"/>
  <c r="I16" i="19"/>
  <c r="I14" i="19"/>
  <c r="I10" i="19"/>
  <c r="H44" i="19"/>
  <c r="H43" i="19"/>
  <c r="H42" i="19"/>
  <c r="H41" i="19"/>
  <c r="H39" i="19"/>
  <c r="H37" i="19"/>
  <c r="H35" i="19"/>
  <c r="H33" i="19"/>
  <c r="H31" i="19"/>
  <c r="H29" i="19"/>
  <c r="H26" i="19"/>
  <c r="H24" i="19"/>
  <c r="H22" i="19"/>
  <c r="H20" i="19"/>
  <c r="H18" i="19"/>
  <c r="H16" i="19"/>
  <c r="H14" i="19"/>
  <c r="H10" i="19"/>
  <c r="G44" i="19"/>
  <c r="G43" i="19"/>
  <c r="G42" i="19"/>
  <c r="G41" i="19"/>
  <c r="G39" i="19"/>
  <c r="G37" i="19"/>
  <c r="G35" i="19"/>
  <c r="G33" i="19"/>
  <c r="G31" i="19"/>
  <c r="G29" i="19"/>
  <c r="G26" i="19"/>
  <c r="G24" i="19"/>
  <c r="G22" i="19"/>
  <c r="G20" i="19"/>
  <c r="G18" i="19"/>
  <c r="G16" i="19"/>
  <c r="G14" i="19"/>
  <c r="G10" i="19"/>
  <c r="F44" i="19"/>
  <c r="F43" i="19"/>
  <c r="F42" i="19"/>
  <c r="F41" i="19"/>
  <c r="F39" i="19"/>
  <c r="F37" i="19"/>
  <c r="F35" i="19"/>
  <c r="F33" i="19"/>
  <c r="F31" i="19"/>
  <c r="F29" i="19"/>
  <c r="F26" i="19"/>
  <c r="F24" i="19"/>
  <c r="F22" i="19"/>
  <c r="F20" i="19"/>
  <c r="F18" i="19"/>
  <c r="F16" i="19"/>
  <c r="F14" i="19"/>
  <c r="F10" i="19"/>
  <c r="E44" i="19"/>
  <c r="E43" i="19"/>
  <c r="E42" i="19"/>
  <c r="E41" i="19"/>
  <c r="E39" i="19"/>
  <c r="E37" i="19"/>
  <c r="E35" i="19"/>
  <c r="E33" i="19"/>
  <c r="E31" i="19"/>
  <c r="E29" i="19"/>
  <c r="E26" i="19"/>
  <c r="E24" i="19"/>
  <c r="E22" i="19"/>
  <c r="E20" i="19"/>
  <c r="E18" i="19"/>
  <c r="E16" i="19"/>
  <c r="E14" i="19"/>
  <c r="E10" i="19"/>
  <c r="D44" i="19"/>
  <c r="D43" i="19"/>
  <c r="D42" i="19"/>
  <c r="D41" i="19"/>
  <c r="D39" i="19"/>
  <c r="D37" i="19"/>
  <c r="D35" i="19"/>
  <c r="D33" i="19"/>
  <c r="D31" i="19"/>
  <c r="D29" i="19"/>
  <c r="D26" i="19"/>
  <c r="D24" i="19"/>
  <c r="D22" i="19"/>
  <c r="D20" i="19"/>
  <c r="D18" i="19"/>
  <c r="D16" i="19"/>
  <c r="D14" i="19"/>
  <c r="D10" i="19"/>
  <c r="C44" i="19"/>
  <c r="C43" i="19"/>
  <c r="C42" i="19"/>
  <c r="C41" i="19"/>
  <c r="C39" i="19"/>
  <c r="C37" i="19"/>
  <c r="C35" i="19"/>
  <c r="C33" i="19"/>
  <c r="C31" i="19"/>
  <c r="C29" i="19"/>
  <c r="C26" i="19"/>
  <c r="C24" i="19"/>
  <c r="C22" i="19"/>
  <c r="C20" i="19"/>
  <c r="C18" i="19"/>
  <c r="C16" i="19"/>
  <c r="C14" i="19"/>
  <c r="C10" i="19"/>
  <c r="V61" i="18"/>
  <c r="V59" i="18"/>
  <c r="V57" i="18"/>
  <c r="V55" i="18"/>
  <c r="V53" i="18"/>
  <c r="V51" i="18"/>
  <c r="V49" i="18"/>
  <c r="V47" i="18"/>
  <c r="V45" i="18"/>
  <c r="V43" i="18"/>
  <c r="V41" i="18"/>
  <c r="V39" i="18"/>
  <c r="V37" i="18"/>
  <c r="V33" i="18"/>
  <c r="V32" i="18"/>
  <c r="V27" i="18"/>
  <c r="V26" i="18"/>
  <c r="V19" i="18"/>
  <c r="V11" i="18"/>
  <c r="V9" i="18"/>
  <c r="U61" i="18"/>
  <c r="U59" i="18"/>
  <c r="U57" i="18"/>
  <c r="U55" i="18"/>
  <c r="U53" i="18"/>
  <c r="U51" i="18"/>
  <c r="U49" i="18"/>
  <c r="U47" i="18"/>
  <c r="U45" i="18"/>
  <c r="U43" i="18"/>
  <c r="U41" i="18"/>
  <c r="U39" i="18"/>
  <c r="U37" i="18"/>
  <c r="U33" i="18"/>
  <c r="U32" i="18"/>
  <c r="U27" i="18"/>
  <c r="U26" i="18"/>
  <c r="U19" i="18"/>
  <c r="U11" i="18"/>
  <c r="U9" i="18"/>
  <c r="T61" i="18"/>
  <c r="T59" i="18"/>
  <c r="T57" i="18"/>
  <c r="T55" i="18"/>
  <c r="T53" i="18"/>
  <c r="T51" i="18"/>
  <c r="T49" i="18"/>
  <c r="T47" i="18"/>
  <c r="T45" i="18"/>
  <c r="T43" i="18"/>
  <c r="T41" i="18"/>
  <c r="T39" i="18"/>
  <c r="T37" i="18"/>
  <c r="T33" i="18"/>
  <c r="T32" i="18"/>
  <c r="T27" i="18"/>
  <c r="T26" i="18"/>
  <c r="T19" i="18"/>
  <c r="T11" i="18"/>
  <c r="T9" i="18"/>
  <c r="S61" i="18"/>
  <c r="S59" i="18"/>
  <c r="S57" i="18"/>
  <c r="S55" i="18"/>
  <c r="S53" i="18"/>
  <c r="S51" i="18"/>
  <c r="S49" i="18"/>
  <c r="S47" i="18"/>
  <c r="S45" i="18"/>
  <c r="S43" i="18"/>
  <c r="S41" i="18"/>
  <c r="S39" i="18"/>
  <c r="S37" i="18"/>
  <c r="S33" i="18"/>
  <c r="S32" i="18"/>
  <c r="S27" i="18"/>
  <c r="S26" i="18"/>
  <c r="S19" i="18"/>
  <c r="S11" i="18"/>
  <c r="S9" i="18"/>
  <c r="R61" i="18"/>
  <c r="R59" i="18"/>
  <c r="R57" i="18"/>
  <c r="R55" i="18"/>
  <c r="R53" i="18"/>
  <c r="R51" i="18"/>
  <c r="R49" i="18"/>
  <c r="R47" i="18"/>
  <c r="R45" i="18"/>
  <c r="R43" i="18"/>
  <c r="R41" i="18"/>
  <c r="R39" i="18"/>
  <c r="R37" i="18"/>
  <c r="R33" i="18"/>
  <c r="R32" i="18"/>
  <c r="R27" i="18"/>
  <c r="R26" i="18"/>
  <c r="R19" i="18"/>
  <c r="R11" i="18"/>
  <c r="R9" i="18"/>
  <c r="Q61" i="18"/>
  <c r="Q59" i="18"/>
  <c r="Q57" i="18"/>
  <c r="Q55" i="18"/>
  <c r="Q53" i="18"/>
  <c r="Q51" i="18"/>
  <c r="Q49" i="18"/>
  <c r="Q47" i="18"/>
  <c r="Q45" i="18"/>
  <c r="Q43" i="18"/>
  <c r="Q41" i="18"/>
  <c r="Q39" i="18"/>
  <c r="Q37" i="18"/>
  <c r="Q33" i="18"/>
  <c r="Q32" i="18"/>
  <c r="Q27" i="18"/>
  <c r="Q26" i="18"/>
  <c r="Q19" i="18"/>
  <c r="Q11" i="18"/>
  <c r="Q9" i="18"/>
  <c r="P61" i="18"/>
  <c r="P59" i="18"/>
  <c r="P57" i="18"/>
  <c r="P55" i="18"/>
  <c r="P53" i="18"/>
  <c r="P51" i="18"/>
  <c r="P49" i="18"/>
  <c r="P47" i="18"/>
  <c r="P45" i="18"/>
  <c r="P43" i="18"/>
  <c r="P41" i="18"/>
  <c r="P39" i="18"/>
  <c r="P37" i="18"/>
  <c r="P33" i="18"/>
  <c r="P32" i="18"/>
  <c r="P27" i="18"/>
  <c r="P26" i="18"/>
  <c r="P19" i="18"/>
  <c r="P11" i="18"/>
  <c r="P9" i="18"/>
  <c r="O61" i="18"/>
  <c r="O59" i="18"/>
  <c r="O57" i="18"/>
  <c r="O55" i="18"/>
  <c r="O53" i="18"/>
  <c r="O51" i="18"/>
  <c r="O49" i="18"/>
  <c r="O47" i="18"/>
  <c r="O45" i="18"/>
  <c r="O43" i="18"/>
  <c r="O41" i="18"/>
  <c r="O39" i="18"/>
  <c r="O37" i="18"/>
  <c r="O33" i="18"/>
  <c r="O32" i="18"/>
  <c r="O27" i="18"/>
  <c r="O26" i="18"/>
  <c r="O19" i="18"/>
  <c r="O11" i="18"/>
  <c r="O9" i="18"/>
  <c r="N61" i="18"/>
  <c r="N59" i="18"/>
  <c r="N57" i="18"/>
  <c r="N55" i="18"/>
  <c r="N53" i="18"/>
  <c r="N51" i="18"/>
  <c r="N49" i="18"/>
  <c r="N47" i="18"/>
  <c r="N45" i="18"/>
  <c r="N43" i="18"/>
  <c r="N41" i="18"/>
  <c r="N39" i="18"/>
  <c r="N37" i="18"/>
  <c r="N33" i="18"/>
  <c r="N32" i="18"/>
  <c r="N27" i="18"/>
  <c r="N26" i="18"/>
  <c r="N19" i="18"/>
  <c r="N11" i="18"/>
  <c r="N9" i="18"/>
  <c r="M61" i="18"/>
  <c r="M59" i="18"/>
  <c r="M57" i="18"/>
  <c r="M55" i="18"/>
  <c r="M53" i="18"/>
  <c r="M51" i="18"/>
  <c r="M49" i="18"/>
  <c r="M47" i="18"/>
  <c r="M45" i="18"/>
  <c r="M43" i="18"/>
  <c r="M41" i="18"/>
  <c r="M39" i="18"/>
  <c r="M37" i="18"/>
  <c r="M33" i="18"/>
  <c r="M32" i="18"/>
  <c r="M27" i="18"/>
  <c r="M26" i="18"/>
  <c r="M19" i="18"/>
  <c r="M11" i="18"/>
  <c r="M9" i="18"/>
  <c r="L61" i="18"/>
  <c r="L59" i="18"/>
  <c r="L57" i="18"/>
  <c r="L55" i="18"/>
  <c r="L53" i="18"/>
  <c r="L51" i="18"/>
  <c r="L49" i="18"/>
  <c r="L47" i="18"/>
  <c r="L45" i="18"/>
  <c r="L43" i="18"/>
  <c r="L41" i="18"/>
  <c r="L39" i="18"/>
  <c r="L37" i="18"/>
  <c r="L33" i="18"/>
  <c r="L32" i="18"/>
  <c r="L27" i="18"/>
  <c r="L26" i="18"/>
  <c r="L19" i="18"/>
  <c r="L11" i="18"/>
  <c r="L9" i="18"/>
  <c r="K61" i="18"/>
  <c r="K59" i="18"/>
  <c r="K57" i="18"/>
  <c r="K55" i="18"/>
  <c r="K53" i="18"/>
  <c r="K51" i="18"/>
  <c r="K49" i="18"/>
  <c r="K47" i="18"/>
  <c r="K45" i="18"/>
  <c r="K43" i="18"/>
  <c r="K41" i="18"/>
  <c r="K39" i="18"/>
  <c r="K37" i="18"/>
  <c r="K33" i="18"/>
  <c r="K32" i="18"/>
  <c r="K27" i="18"/>
  <c r="K26" i="18"/>
  <c r="K19" i="18"/>
  <c r="K11" i="18"/>
  <c r="K9" i="18"/>
  <c r="J61" i="18"/>
  <c r="J59" i="18"/>
  <c r="J57" i="18"/>
  <c r="J55" i="18"/>
  <c r="J53" i="18"/>
  <c r="J51" i="18"/>
  <c r="J49" i="18"/>
  <c r="J47" i="18"/>
  <c r="J45" i="18"/>
  <c r="J43" i="18"/>
  <c r="J41" i="18"/>
  <c r="J39" i="18"/>
  <c r="J37" i="18"/>
  <c r="J33" i="18"/>
  <c r="J32" i="18"/>
  <c r="J27" i="18"/>
  <c r="J26" i="18"/>
  <c r="J19" i="18"/>
  <c r="J11" i="18"/>
  <c r="J9" i="18"/>
  <c r="I61" i="18"/>
  <c r="I59" i="18"/>
  <c r="I57" i="18"/>
  <c r="I55" i="18"/>
  <c r="I53" i="18"/>
  <c r="I51" i="18"/>
  <c r="I49" i="18"/>
  <c r="I47" i="18"/>
  <c r="I45" i="18"/>
  <c r="I43" i="18"/>
  <c r="I41" i="18"/>
  <c r="I39" i="18"/>
  <c r="I37" i="18"/>
  <c r="I33" i="18"/>
  <c r="I32" i="18"/>
  <c r="I27" i="18"/>
  <c r="I26" i="18"/>
  <c r="I19" i="18"/>
  <c r="I11" i="18"/>
  <c r="I9" i="18"/>
  <c r="H61" i="18"/>
  <c r="H59" i="18"/>
  <c r="H57" i="18"/>
  <c r="H55" i="18"/>
  <c r="H53" i="18"/>
  <c r="H51" i="18"/>
  <c r="H49" i="18"/>
  <c r="H47" i="18"/>
  <c r="H45" i="18"/>
  <c r="H43" i="18"/>
  <c r="H41" i="18"/>
  <c r="H39" i="18"/>
  <c r="H37" i="18"/>
  <c r="H33" i="18"/>
  <c r="H32" i="18"/>
  <c r="H27" i="18"/>
  <c r="H26" i="18"/>
  <c r="H19" i="18"/>
  <c r="H11" i="18"/>
  <c r="H9" i="18"/>
  <c r="G61" i="18"/>
  <c r="G59" i="18"/>
  <c r="G57" i="18"/>
  <c r="G55" i="18"/>
  <c r="G53" i="18"/>
  <c r="G51" i="18"/>
  <c r="G49" i="18"/>
  <c r="G47" i="18"/>
  <c r="G45" i="18"/>
  <c r="G43" i="18"/>
  <c r="G41" i="18"/>
  <c r="G39" i="18"/>
  <c r="G37" i="18"/>
  <c r="G33" i="18"/>
  <c r="G32" i="18"/>
  <c r="G27" i="18"/>
  <c r="G26" i="18"/>
  <c r="G19" i="18"/>
  <c r="G11" i="18"/>
  <c r="G9" i="18"/>
  <c r="F61" i="18"/>
  <c r="F59" i="18"/>
  <c r="F57" i="18"/>
  <c r="F55" i="18"/>
  <c r="F53" i="18"/>
  <c r="F51" i="18"/>
  <c r="F49" i="18"/>
  <c r="F47" i="18"/>
  <c r="F45" i="18"/>
  <c r="F43" i="18"/>
  <c r="F41" i="18"/>
  <c r="F39" i="18"/>
  <c r="F37" i="18"/>
  <c r="F33" i="18"/>
  <c r="F32" i="18"/>
  <c r="F27" i="18"/>
  <c r="F26" i="18"/>
  <c r="F19" i="18"/>
  <c r="F11" i="18"/>
  <c r="F9" i="18"/>
  <c r="E61" i="18"/>
  <c r="E59" i="18"/>
  <c r="E57" i="18"/>
  <c r="E55" i="18"/>
  <c r="E53" i="18"/>
  <c r="E51" i="18"/>
  <c r="E49" i="18"/>
  <c r="E47" i="18"/>
  <c r="E45" i="18"/>
  <c r="E43" i="18"/>
  <c r="E41" i="18"/>
  <c r="E39" i="18"/>
  <c r="E37" i="18"/>
  <c r="E33" i="18"/>
  <c r="E32" i="18"/>
  <c r="E27" i="18"/>
  <c r="E26" i="18"/>
  <c r="E19" i="18"/>
  <c r="E11" i="18"/>
  <c r="E9" i="18"/>
  <c r="D61" i="18"/>
  <c r="D59" i="18"/>
  <c r="D57" i="18"/>
  <c r="D55" i="18"/>
  <c r="D53" i="18"/>
  <c r="D51" i="18"/>
  <c r="D49" i="18"/>
  <c r="D47" i="18"/>
  <c r="D45" i="18"/>
  <c r="D43" i="18"/>
  <c r="D41" i="18"/>
  <c r="D39" i="18"/>
  <c r="D37" i="18"/>
  <c r="D33" i="18"/>
  <c r="D32" i="18"/>
  <c r="D27" i="18"/>
  <c r="D26" i="18"/>
  <c r="D19" i="18"/>
  <c r="D11" i="18"/>
  <c r="D9" i="18"/>
  <c r="C61" i="18"/>
  <c r="C59" i="18"/>
  <c r="C57" i="18"/>
  <c r="C55" i="18"/>
  <c r="C53" i="18"/>
  <c r="C51" i="18"/>
  <c r="C49" i="18"/>
  <c r="C47" i="18"/>
  <c r="C45" i="18"/>
  <c r="C43" i="18"/>
  <c r="C41" i="18"/>
  <c r="C39" i="18"/>
  <c r="C37" i="18"/>
  <c r="C33" i="18"/>
  <c r="C32" i="18"/>
  <c r="C27" i="18"/>
  <c r="C26" i="18"/>
  <c r="C19" i="18"/>
  <c r="C11" i="18"/>
  <c r="C9" i="18"/>
  <c r="AM53" i="14"/>
  <c r="AM51" i="14"/>
  <c r="AM49" i="14"/>
  <c r="AM47" i="14"/>
  <c r="AM45" i="14"/>
  <c r="AM43" i="14"/>
  <c r="AM41" i="14"/>
  <c r="AM39" i="14"/>
  <c r="AM37" i="14"/>
  <c r="AM35" i="14"/>
  <c r="AM33" i="14"/>
  <c r="AM31" i="14"/>
  <c r="AM29" i="14"/>
  <c r="AM27" i="14"/>
  <c r="AM25" i="14"/>
  <c r="AM19" i="14"/>
  <c r="AM18" i="14"/>
  <c r="AM12" i="14"/>
  <c r="AM11" i="14"/>
  <c r="AM10" i="14"/>
  <c r="AM9" i="14"/>
  <c r="AL53" i="14"/>
  <c r="AL51" i="14"/>
  <c r="AL49" i="14"/>
  <c r="AL47" i="14"/>
  <c r="AL45" i="14"/>
  <c r="AL43" i="14"/>
  <c r="AL41" i="14"/>
  <c r="AL39" i="14"/>
  <c r="AL37" i="14"/>
  <c r="AL35" i="14"/>
  <c r="AL33" i="14"/>
  <c r="AL31" i="14"/>
  <c r="AL29" i="14"/>
  <c r="AL27" i="14"/>
  <c r="AL25" i="14"/>
  <c r="AL19" i="14"/>
  <c r="AL18" i="14"/>
  <c r="AL12" i="14"/>
  <c r="AL11" i="14"/>
  <c r="AL10" i="14"/>
  <c r="AL9" i="14"/>
  <c r="AK53" i="14"/>
  <c r="AK51" i="14"/>
  <c r="AK49" i="14"/>
  <c r="AK47" i="14"/>
  <c r="AK45" i="14"/>
  <c r="AK43" i="14"/>
  <c r="AK41" i="14"/>
  <c r="AK39" i="14"/>
  <c r="AK37" i="14"/>
  <c r="AK35" i="14"/>
  <c r="AK33" i="14"/>
  <c r="AK31" i="14"/>
  <c r="AK29" i="14"/>
  <c r="AK27" i="14"/>
  <c r="AK25" i="14"/>
  <c r="AK19" i="14"/>
  <c r="AK18" i="14"/>
  <c r="AK12" i="14"/>
  <c r="AK11" i="14"/>
  <c r="AK10" i="14"/>
  <c r="AK9" i="14"/>
  <c r="AJ53" i="14"/>
  <c r="AJ51" i="14"/>
  <c r="AJ49" i="14"/>
  <c r="AJ47" i="14"/>
  <c r="AJ45" i="14"/>
  <c r="AJ43" i="14"/>
  <c r="AJ41" i="14"/>
  <c r="AJ39" i="14"/>
  <c r="AJ37" i="14"/>
  <c r="AJ35" i="14"/>
  <c r="AJ33" i="14"/>
  <c r="AJ31" i="14"/>
  <c r="AJ29" i="14"/>
  <c r="AJ27" i="14"/>
  <c r="AJ25" i="14"/>
  <c r="AJ19" i="14"/>
  <c r="AJ18" i="14"/>
  <c r="AJ12" i="14"/>
  <c r="AJ11" i="14"/>
  <c r="AJ10" i="14"/>
  <c r="AJ9" i="14"/>
  <c r="AI53" i="14"/>
  <c r="AI51" i="14"/>
  <c r="AI49" i="14"/>
  <c r="AI47" i="14"/>
  <c r="AI45" i="14"/>
  <c r="AI43" i="14"/>
  <c r="AI41" i="14"/>
  <c r="AI39" i="14"/>
  <c r="AI37" i="14"/>
  <c r="AI35" i="14"/>
  <c r="AI33" i="14"/>
  <c r="AI31" i="14"/>
  <c r="AI29" i="14"/>
  <c r="AI27" i="14"/>
  <c r="AI25" i="14"/>
  <c r="AI19" i="14"/>
  <c r="AI18" i="14"/>
  <c r="AI12" i="14"/>
  <c r="AI11" i="14"/>
  <c r="AI10" i="14"/>
  <c r="AI9" i="14"/>
  <c r="AH53" i="14"/>
  <c r="AH51" i="14"/>
  <c r="AH49" i="14"/>
  <c r="AH47" i="14"/>
  <c r="AH45" i="14"/>
  <c r="AH43" i="14"/>
  <c r="AH41" i="14"/>
  <c r="AH39" i="14"/>
  <c r="AH37" i="14"/>
  <c r="AH35" i="14"/>
  <c r="AH33" i="14"/>
  <c r="AH31" i="14"/>
  <c r="AH29" i="14"/>
  <c r="AH27" i="14"/>
  <c r="AH25" i="14"/>
  <c r="AH19" i="14"/>
  <c r="AH18" i="14"/>
  <c r="AH12" i="14"/>
  <c r="AH11" i="14"/>
  <c r="AH10" i="14"/>
  <c r="AH9" i="14"/>
  <c r="AG53" i="14"/>
  <c r="AG51" i="14"/>
  <c r="AG49" i="14"/>
  <c r="AG47" i="14"/>
  <c r="AG45" i="14"/>
  <c r="AG43" i="14"/>
  <c r="AG41" i="14"/>
  <c r="AG39" i="14"/>
  <c r="AG37" i="14"/>
  <c r="AG35" i="14"/>
  <c r="AG33" i="14"/>
  <c r="AG31" i="14"/>
  <c r="AG29" i="14"/>
  <c r="AG27" i="14"/>
  <c r="AG25" i="14"/>
  <c r="AG19" i="14"/>
  <c r="AG18" i="14"/>
  <c r="AG12" i="14"/>
  <c r="AG11" i="14"/>
  <c r="AG10" i="14"/>
  <c r="AG9" i="14"/>
  <c r="AF53" i="14"/>
  <c r="AF51" i="14"/>
  <c r="AF49" i="14"/>
  <c r="AF47" i="14"/>
  <c r="AF45" i="14"/>
  <c r="AF43" i="14"/>
  <c r="AF41" i="14"/>
  <c r="AF39" i="14"/>
  <c r="AF37" i="14"/>
  <c r="AF35" i="14"/>
  <c r="AF33" i="14"/>
  <c r="AF31" i="14"/>
  <c r="AF29" i="14"/>
  <c r="AF27" i="14"/>
  <c r="AF25" i="14"/>
  <c r="AF19" i="14"/>
  <c r="AF18" i="14"/>
  <c r="AF12" i="14"/>
  <c r="AF11" i="14"/>
  <c r="AF10" i="14"/>
  <c r="AF9" i="14"/>
  <c r="AE53" i="14"/>
  <c r="AE51" i="14"/>
  <c r="AE49" i="14"/>
  <c r="AE47" i="14"/>
  <c r="AE45" i="14"/>
  <c r="AE43" i="14"/>
  <c r="AE41" i="14"/>
  <c r="AE39" i="14"/>
  <c r="AE37" i="14"/>
  <c r="AE35" i="14"/>
  <c r="AE33" i="14"/>
  <c r="AE31" i="14"/>
  <c r="AE29" i="14"/>
  <c r="AE27" i="14"/>
  <c r="AE25" i="14"/>
  <c r="AE19" i="14"/>
  <c r="AE18" i="14"/>
  <c r="AE12" i="14"/>
  <c r="AE11" i="14"/>
  <c r="AE10" i="14"/>
  <c r="AE9" i="14"/>
  <c r="AD53" i="14"/>
  <c r="AD51" i="14"/>
  <c r="AD49" i="14"/>
  <c r="AD47" i="14"/>
  <c r="AD45" i="14"/>
  <c r="AD43" i="14"/>
  <c r="AD41" i="14"/>
  <c r="AD39" i="14"/>
  <c r="AD37" i="14"/>
  <c r="AD35" i="14"/>
  <c r="AD33" i="14"/>
  <c r="AD31" i="14"/>
  <c r="AD29" i="14"/>
  <c r="AD27" i="14"/>
  <c r="AD25" i="14"/>
  <c r="AD19" i="14"/>
  <c r="AD18" i="14"/>
  <c r="AD12" i="14"/>
  <c r="AD11" i="14"/>
  <c r="AD10" i="14"/>
  <c r="AD9" i="14"/>
  <c r="AC53" i="14"/>
  <c r="AC51" i="14"/>
  <c r="AC49" i="14"/>
  <c r="AC47" i="14"/>
  <c r="AC45" i="14"/>
  <c r="AC43" i="14"/>
  <c r="AC41" i="14"/>
  <c r="AC39" i="14"/>
  <c r="AC37" i="14"/>
  <c r="AC35" i="14"/>
  <c r="AC33" i="14"/>
  <c r="AC31" i="14"/>
  <c r="AC29" i="14"/>
  <c r="AC27" i="14"/>
  <c r="AC25" i="14"/>
  <c r="AC19" i="14"/>
  <c r="AC18" i="14"/>
  <c r="AC12" i="14"/>
  <c r="AC11" i="14"/>
  <c r="AC10" i="14"/>
  <c r="AC9" i="14"/>
  <c r="AB53" i="14"/>
  <c r="AB51" i="14"/>
  <c r="AB49" i="14"/>
  <c r="AB47" i="14"/>
  <c r="AB45" i="14"/>
  <c r="AB43" i="14"/>
  <c r="AB41" i="14"/>
  <c r="AB39" i="14"/>
  <c r="AB37" i="14"/>
  <c r="AB35" i="14"/>
  <c r="AB33" i="14"/>
  <c r="AB31" i="14"/>
  <c r="AB29" i="14"/>
  <c r="AB27" i="14"/>
  <c r="AB25" i="14"/>
  <c r="AB19" i="14"/>
  <c r="AB18" i="14"/>
  <c r="AB12" i="14"/>
  <c r="AB11" i="14"/>
  <c r="AB10" i="14"/>
  <c r="AB9" i="14"/>
  <c r="AA53" i="14"/>
  <c r="AA51" i="14"/>
  <c r="AA49" i="14"/>
  <c r="AA47" i="14"/>
  <c r="AA45" i="14"/>
  <c r="AA43" i="14"/>
  <c r="AA41" i="14"/>
  <c r="AA39" i="14"/>
  <c r="AA37" i="14"/>
  <c r="AA35" i="14"/>
  <c r="AA33" i="14"/>
  <c r="AA31" i="14"/>
  <c r="AA29" i="14"/>
  <c r="AA27" i="14"/>
  <c r="AA25" i="14"/>
  <c r="AA19" i="14"/>
  <c r="AA18" i="14"/>
  <c r="AA12" i="14"/>
  <c r="AA11" i="14"/>
  <c r="AA10" i="14"/>
  <c r="AA9" i="14"/>
  <c r="Z53" i="14"/>
  <c r="Z51" i="14"/>
  <c r="Z49" i="14"/>
  <c r="Z47" i="14"/>
  <c r="Z45" i="14"/>
  <c r="Z43" i="14"/>
  <c r="Z41" i="14"/>
  <c r="Z39" i="14"/>
  <c r="Z37" i="14"/>
  <c r="Z35" i="14"/>
  <c r="Z33" i="14"/>
  <c r="Z31" i="14"/>
  <c r="Z29" i="14"/>
  <c r="Z27" i="14"/>
  <c r="Z25" i="14"/>
  <c r="Z19" i="14"/>
  <c r="Z18" i="14"/>
  <c r="Z12" i="14"/>
  <c r="Z11" i="14"/>
  <c r="Z10" i="14"/>
  <c r="Z9" i="14"/>
  <c r="Y53" i="14"/>
  <c r="Y51" i="14"/>
  <c r="Y49" i="14"/>
  <c r="Y47" i="14"/>
  <c r="Y45" i="14"/>
  <c r="Y43" i="14"/>
  <c r="Y41" i="14"/>
  <c r="Y39" i="14"/>
  <c r="Y37" i="14"/>
  <c r="Y35" i="14"/>
  <c r="Y33" i="14"/>
  <c r="Y31" i="14"/>
  <c r="Y29" i="14"/>
  <c r="Y27" i="14"/>
  <c r="Y25" i="14"/>
  <c r="Y19" i="14"/>
  <c r="Y18" i="14"/>
  <c r="Y12" i="14"/>
  <c r="Y11" i="14"/>
  <c r="Y10" i="14"/>
  <c r="Y9" i="14"/>
  <c r="X53" i="14"/>
  <c r="X51" i="14"/>
  <c r="X49" i="14"/>
  <c r="X47" i="14"/>
  <c r="X45" i="14"/>
  <c r="X43" i="14"/>
  <c r="X41" i="14"/>
  <c r="X39" i="14"/>
  <c r="X37" i="14"/>
  <c r="X35" i="14"/>
  <c r="X33" i="14"/>
  <c r="X31" i="14"/>
  <c r="X29" i="14"/>
  <c r="X27" i="14"/>
  <c r="X25" i="14"/>
  <c r="X19" i="14"/>
  <c r="X18" i="14"/>
  <c r="X12" i="14"/>
  <c r="X11" i="14"/>
  <c r="X10" i="14"/>
  <c r="X9" i="14"/>
  <c r="W53" i="14"/>
  <c r="W51" i="14"/>
  <c r="W49" i="14"/>
  <c r="W47" i="14"/>
  <c r="W45" i="14"/>
  <c r="W43" i="14"/>
  <c r="W41" i="14"/>
  <c r="W39" i="14"/>
  <c r="W37" i="14"/>
  <c r="W35" i="14"/>
  <c r="W33" i="14"/>
  <c r="W31" i="14"/>
  <c r="W29" i="14"/>
  <c r="W27" i="14"/>
  <c r="W25" i="14"/>
  <c r="W19" i="14"/>
  <c r="W18" i="14"/>
  <c r="W12" i="14"/>
  <c r="W11" i="14"/>
  <c r="W10" i="14"/>
  <c r="W9" i="14"/>
  <c r="C64" i="17"/>
  <c r="D64" i="17"/>
  <c r="E64" i="17"/>
  <c r="F64" i="17"/>
  <c r="G64" i="17"/>
  <c r="H64" i="17"/>
  <c r="I64" i="17"/>
  <c r="J64" i="17"/>
  <c r="K64" i="17"/>
  <c r="L64" i="17"/>
  <c r="M64" i="17"/>
  <c r="N64" i="17"/>
  <c r="O64" i="17"/>
  <c r="P64" i="17"/>
  <c r="Q64" i="17"/>
  <c r="R64" i="17"/>
  <c r="S64" i="17"/>
  <c r="T64" i="17"/>
  <c r="U64" i="17"/>
  <c r="V64" i="17"/>
  <c r="C63" i="17"/>
  <c r="D63" i="17"/>
  <c r="E63" i="17"/>
  <c r="F63" i="17"/>
  <c r="G63" i="17"/>
  <c r="H63" i="17"/>
  <c r="I63" i="17"/>
  <c r="J63" i="17"/>
  <c r="K63" i="17"/>
  <c r="L63" i="17"/>
  <c r="M63" i="17"/>
  <c r="N63" i="17"/>
  <c r="O63" i="17"/>
  <c r="P63" i="17"/>
  <c r="Q63" i="17"/>
  <c r="R63" i="17"/>
  <c r="S63" i="17"/>
  <c r="T63" i="17"/>
  <c r="U63" i="17"/>
  <c r="V63" i="17"/>
  <c r="C62" i="17"/>
  <c r="D62" i="17"/>
  <c r="E62" i="17"/>
  <c r="F62" i="17"/>
  <c r="G62" i="17"/>
  <c r="H62" i="17"/>
  <c r="I62" i="17"/>
  <c r="J62" i="17"/>
  <c r="K62" i="17"/>
  <c r="L62" i="17"/>
  <c r="M62" i="17"/>
  <c r="N62" i="17"/>
  <c r="O62" i="17"/>
  <c r="P62" i="17"/>
  <c r="Q62" i="17"/>
  <c r="R62" i="17"/>
  <c r="S62" i="17"/>
  <c r="T62" i="17"/>
  <c r="U62" i="17"/>
  <c r="V62" i="17"/>
  <c r="C61" i="17"/>
  <c r="D61" i="17"/>
  <c r="E61" i="17"/>
  <c r="F61" i="17"/>
  <c r="G61" i="17"/>
  <c r="H61" i="17"/>
  <c r="I61" i="17"/>
  <c r="J61" i="17"/>
  <c r="K61" i="17"/>
  <c r="L61" i="17"/>
  <c r="M61" i="17"/>
  <c r="N61" i="17"/>
  <c r="O61" i="17"/>
  <c r="P61" i="17"/>
  <c r="Q61" i="17"/>
  <c r="R61" i="17"/>
  <c r="S61" i="17"/>
  <c r="T61" i="17"/>
  <c r="U61" i="17"/>
  <c r="V61" i="17"/>
  <c r="C60" i="17"/>
  <c r="D60" i="17"/>
  <c r="E60" i="17"/>
  <c r="F60" i="17"/>
  <c r="G60" i="17"/>
  <c r="H60" i="17"/>
  <c r="I60" i="17"/>
  <c r="J60" i="17"/>
  <c r="K60" i="17"/>
  <c r="L60" i="17"/>
  <c r="M60" i="17"/>
  <c r="N60" i="17"/>
  <c r="O60" i="17"/>
  <c r="P60" i="17"/>
  <c r="Q60" i="17"/>
  <c r="R60" i="17"/>
  <c r="S60" i="17"/>
  <c r="T60" i="17"/>
  <c r="U60" i="17"/>
  <c r="V60" i="17"/>
  <c r="C57" i="17"/>
  <c r="D57" i="17"/>
  <c r="E57" i="17"/>
  <c r="F57" i="17"/>
  <c r="G57" i="17"/>
  <c r="H57" i="17"/>
  <c r="I57" i="17"/>
  <c r="J57" i="17"/>
  <c r="K57" i="17"/>
  <c r="L57" i="17"/>
  <c r="M57" i="17"/>
  <c r="N57" i="17"/>
  <c r="O57" i="17"/>
  <c r="P57" i="17"/>
  <c r="Q57" i="17"/>
  <c r="R57" i="17"/>
  <c r="S57" i="17"/>
  <c r="T57" i="17"/>
  <c r="U57" i="17"/>
  <c r="V57" i="17"/>
  <c r="C55" i="17"/>
  <c r="D55" i="17"/>
  <c r="E55" i="17"/>
  <c r="F55" i="17"/>
  <c r="G55" i="17"/>
  <c r="H55" i="17"/>
  <c r="I55" i="17"/>
  <c r="J55" i="17"/>
  <c r="K55" i="17"/>
  <c r="L55" i="17"/>
  <c r="M55" i="17"/>
  <c r="N55" i="17"/>
  <c r="O55" i="17"/>
  <c r="P55" i="17"/>
  <c r="Q55" i="17"/>
  <c r="R55" i="17"/>
  <c r="S55" i="17"/>
  <c r="T55" i="17"/>
  <c r="U55" i="17"/>
  <c r="V55" i="17"/>
  <c r="C53" i="17"/>
  <c r="D53" i="17"/>
  <c r="E53" i="17"/>
  <c r="F53" i="17"/>
  <c r="G53" i="17"/>
  <c r="H53" i="17"/>
  <c r="I53" i="17"/>
  <c r="J53" i="17"/>
  <c r="K53" i="17"/>
  <c r="L53" i="17"/>
  <c r="M53" i="17"/>
  <c r="N53" i="17"/>
  <c r="O53" i="17"/>
  <c r="P53" i="17"/>
  <c r="Q53" i="17"/>
  <c r="R53" i="17"/>
  <c r="S53" i="17"/>
  <c r="T53" i="17"/>
  <c r="U53" i="17"/>
  <c r="V53" i="17"/>
  <c r="C51" i="17"/>
  <c r="D51" i="17"/>
  <c r="E51" i="17"/>
  <c r="F51" i="17"/>
  <c r="G51" i="17"/>
  <c r="H51" i="17"/>
  <c r="I51" i="17"/>
  <c r="J51" i="17"/>
  <c r="K51" i="17"/>
  <c r="L51" i="17"/>
  <c r="M51" i="17"/>
  <c r="N51" i="17"/>
  <c r="O51" i="17"/>
  <c r="P51" i="17"/>
  <c r="Q51" i="17"/>
  <c r="R51" i="17"/>
  <c r="S51" i="17"/>
  <c r="T51" i="17"/>
  <c r="U51" i="17"/>
  <c r="V51" i="17"/>
  <c r="C49" i="17"/>
  <c r="D49" i="17"/>
  <c r="E49" i="17"/>
  <c r="F49" i="17"/>
  <c r="G49" i="17"/>
  <c r="H49" i="17"/>
  <c r="I49" i="17"/>
  <c r="J49" i="17"/>
  <c r="K49" i="17"/>
  <c r="L49" i="17"/>
  <c r="M49" i="17"/>
  <c r="N49" i="17"/>
  <c r="O49" i="17"/>
  <c r="P49" i="17"/>
  <c r="Q49" i="17"/>
  <c r="R49" i="17"/>
  <c r="S49" i="17"/>
  <c r="T49" i="17"/>
  <c r="U49" i="17"/>
  <c r="V49" i="17"/>
  <c r="C47" i="17"/>
  <c r="D47" i="17"/>
  <c r="E47" i="17"/>
  <c r="F47" i="17"/>
  <c r="G47" i="17"/>
  <c r="H47" i="17"/>
  <c r="I47" i="17"/>
  <c r="J47" i="17"/>
  <c r="K47" i="17"/>
  <c r="L47" i="17"/>
  <c r="M47" i="17"/>
  <c r="N47" i="17"/>
  <c r="O47" i="17"/>
  <c r="P47" i="17"/>
  <c r="Q47" i="17"/>
  <c r="R47" i="17"/>
  <c r="S47" i="17"/>
  <c r="T47" i="17"/>
  <c r="U47" i="17"/>
  <c r="V47" i="17"/>
  <c r="C45" i="17"/>
  <c r="D45" i="17"/>
  <c r="E45" i="17"/>
  <c r="F45" i="17"/>
  <c r="G45" i="17"/>
  <c r="H45" i="17"/>
  <c r="I45" i="17"/>
  <c r="J45" i="17"/>
  <c r="K45" i="17"/>
  <c r="L45" i="17"/>
  <c r="M45" i="17"/>
  <c r="N45" i="17"/>
  <c r="O45" i="17"/>
  <c r="P45" i="17"/>
  <c r="Q45" i="17"/>
  <c r="R45" i="17"/>
  <c r="S45" i="17"/>
  <c r="T45" i="17"/>
  <c r="U45" i="17"/>
  <c r="V45" i="17"/>
  <c r="C43" i="17"/>
  <c r="D43" i="17"/>
  <c r="E43" i="17"/>
  <c r="F43" i="17"/>
  <c r="G43" i="17"/>
  <c r="H43" i="17"/>
  <c r="I43" i="17"/>
  <c r="J43" i="17"/>
  <c r="K43" i="17"/>
  <c r="L43" i="17"/>
  <c r="M43" i="17"/>
  <c r="N43" i="17"/>
  <c r="O43" i="17"/>
  <c r="P43" i="17"/>
  <c r="Q43" i="17"/>
  <c r="R43" i="17"/>
  <c r="S43" i="17"/>
  <c r="T43" i="17"/>
  <c r="U43" i="17"/>
  <c r="V43" i="17"/>
  <c r="C41" i="17"/>
  <c r="D41" i="17"/>
  <c r="E41" i="17"/>
  <c r="F41" i="17"/>
  <c r="G41" i="17"/>
  <c r="H41" i="17"/>
  <c r="I41" i="17"/>
  <c r="J41" i="17"/>
  <c r="K41" i="17"/>
  <c r="L41" i="17"/>
  <c r="M41" i="17"/>
  <c r="N41" i="17"/>
  <c r="O41" i="17"/>
  <c r="P41" i="17"/>
  <c r="Q41" i="17"/>
  <c r="R41" i="17"/>
  <c r="S41" i="17"/>
  <c r="T41" i="17"/>
  <c r="U41" i="17"/>
  <c r="V41" i="17"/>
  <c r="C39" i="17"/>
  <c r="D39" i="17"/>
  <c r="E39" i="17"/>
  <c r="F39" i="17"/>
  <c r="G39" i="17"/>
  <c r="H39" i="17"/>
  <c r="I39" i="17"/>
  <c r="J39" i="17"/>
  <c r="K39" i="17"/>
  <c r="L39" i="17"/>
  <c r="M39" i="17"/>
  <c r="N39" i="17"/>
  <c r="O39" i="17"/>
  <c r="P39" i="17"/>
  <c r="Q39" i="17"/>
  <c r="R39" i="17"/>
  <c r="S39" i="17"/>
  <c r="T39" i="17"/>
  <c r="U39" i="17"/>
  <c r="V39" i="17"/>
  <c r="C37" i="17"/>
  <c r="D37" i="17"/>
  <c r="E37" i="17"/>
  <c r="F37" i="17"/>
  <c r="G37" i="17"/>
  <c r="H37" i="17"/>
  <c r="I37" i="17"/>
  <c r="J37" i="17"/>
  <c r="K37" i="17"/>
  <c r="L37" i="17"/>
  <c r="M37" i="17"/>
  <c r="N37" i="17"/>
  <c r="O37" i="17"/>
  <c r="P37" i="17"/>
  <c r="Q37" i="17"/>
  <c r="R37" i="17"/>
  <c r="S37" i="17"/>
  <c r="T37" i="17"/>
  <c r="U37" i="17"/>
  <c r="V37" i="17"/>
  <c r="C35" i="17"/>
  <c r="D35" i="17"/>
  <c r="E35" i="17"/>
  <c r="F35" i="17"/>
  <c r="G35" i="17"/>
  <c r="H35" i="17"/>
  <c r="I35" i="17"/>
  <c r="J35" i="17"/>
  <c r="K35" i="17"/>
  <c r="L35" i="17"/>
  <c r="M35" i="17"/>
  <c r="N35" i="17"/>
  <c r="O35" i="17"/>
  <c r="P35" i="17"/>
  <c r="Q35" i="17"/>
  <c r="R35" i="17"/>
  <c r="S35" i="17"/>
  <c r="T35" i="17"/>
  <c r="U35" i="17"/>
  <c r="V35" i="17"/>
  <c r="C33" i="17"/>
  <c r="D33" i="17"/>
  <c r="E33" i="17"/>
  <c r="F33" i="17"/>
  <c r="G33" i="17"/>
  <c r="H33" i="17"/>
  <c r="I33" i="17"/>
  <c r="J33" i="17"/>
  <c r="K33" i="17"/>
  <c r="L33" i="17"/>
  <c r="M33" i="17"/>
  <c r="N33" i="17"/>
  <c r="O33" i="17"/>
  <c r="P33" i="17"/>
  <c r="Q33" i="17"/>
  <c r="R33" i="17"/>
  <c r="S33" i="17"/>
  <c r="T33" i="17"/>
  <c r="U33" i="17"/>
  <c r="V33" i="17"/>
  <c r="C29" i="17"/>
  <c r="D29" i="17"/>
  <c r="E29" i="17"/>
  <c r="F29" i="17"/>
  <c r="G29" i="17"/>
  <c r="H29" i="17"/>
  <c r="I29" i="17"/>
  <c r="J29" i="17"/>
  <c r="K29" i="17"/>
  <c r="L29" i="17"/>
  <c r="M29" i="17"/>
  <c r="N29" i="17"/>
  <c r="O29" i="17"/>
  <c r="P29" i="17"/>
  <c r="Q29" i="17"/>
  <c r="R29" i="17"/>
  <c r="S29" i="17"/>
  <c r="T29" i="17"/>
  <c r="U29" i="17"/>
  <c r="V29" i="17"/>
  <c r="C28" i="17"/>
  <c r="D28" i="17"/>
  <c r="E28" i="17"/>
  <c r="F28" i="17"/>
  <c r="G28" i="17"/>
  <c r="H28" i="17"/>
  <c r="I28" i="17"/>
  <c r="J28" i="17"/>
  <c r="K28" i="17"/>
  <c r="L28" i="17"/>
  <c r="M28" i="17"/>
  <c r="N28" i="17"/>
  <c r="O28" i="17"/>
  <c r="O19" i="17" s="1"/>
  <c r="P28" i="17"/>
  <c r="P19" i="17" s="1"/>
  <c r="Q28" i="17"/>
  <c r="Q19" i="17" s="1"/>
  <c r="R28" i="17"/>
  <c r="R19" i="17" s="1"/>
  <c r="S28" i="17"/>
  <c r="S19" i="17" s="1"/>
  <c r="T28" i="17"/>
  <c r="T19" i="17" s="1"/>
  <c r="U28" i="17"/>
  <c r="U19" i="17" s="1"/>
  <c r="V28" i="17"/>
  <c r="V19" i="17" s="1"/>
  <c r="C19" i="17"/>
  <c r="D19" i="17"/>
  <c r="E19" i="17"/>
  <c r="F19" i="17"/>
  <c r="G19" i="17"/>
  <c r="H19" i="17"/>
  <c r="I19" i="17"/>
  <c r="J19" i="17"/>
  <c r="K19" i="17"/>
  <c r="L19" i="17"/>
  <c r="M19" i="17"/>
  <c r="N19" i="17"/>
  <c r="C16" i="17"/>
  <c r="D16" i="17"/>
  <c r="E16" i="17"/>
  <c r="F16" i="17"/>
  <c r="G16" i="17"/>
  <c r="H16" i="17"/>
  <c r="I16" i="17"/>
  <c r="J16" i="17"/>
  <c r="K16" i="17"/>
  <c r="L16" i="17"/>
  <c r="M16" i="17"/>
  <c r="N16" i="17"/>
  <c r="O16" i="17"/>
  <c r="P16" i="17"/>
  <c r="Q16" i="17"/>
  <c r="R16" i="17"/>
  <c r="S16" i="17"/>
  <c r="T16" i="17"/>
  <c r="U16" i="17"/>
  <c r="V16" i="17"/>
  <c r="C12" i="17"/>
  <c r="D12" i="17"/>
  <c r="E12" i="17"/>
  <c r="F12" i="17"/>
  <c r="G12" i="17"/>
  <c r="H12" i="17"/>
  <c r="I12" i="17"/>
  <c r="J12" i="17"/>
  <c r="K12" i="17"/>
  <c r="L12" i="17"/>
  <c r="M12" i="17"/>
  <c r="N12" i="17"/>
  <c r="O12" i="17"/>
  <c r="P12" i="17"/>
  <c r="Q12" i="17"/>
  <c r="R12" i="17"/>
  <c r="S12" i="17"/>
  <c r="T12" i="17"/>
  <c r="U12" i="17"/>
  <c r="V12" i="17"/>
  <c r="C10" i="17"/>
  <c r="D10" i="17"/>
  <c r="E10" i="17"/>
  <c r="F10" i="17"/>
  <c r="G10" i="17"/>
  <c r="H10" i="17"/>
  <c r="I10" i="17"/>
  <c r="J10" i="17"/>
  <c r="K10" i="17"/>
  <c r="L10" i="17"/>
  <c r="M10" i="17"/>
  <c r="N10" i="17"/>
  <c r="O10" i="17"/>
  <c r="P10" i="17"/>
  <c r="Q10" i="17"/>
  <c r="R10" i="17"/>
  <c r="S10" i="17"/>
  <c r="T10" i="17"/>
  <c r="U10" i="17"/>
  <c r="V10" i="17"/>
  <c r="C9" i="17"/>
  <c r="D9" i="17"/>
  <c r="E9" i="17"/>
  <c r="F9" i="17"/>
  <c r="G9" i="17"/>
  <c r="H9" i="17"/>
  <c r="I9" i="17"/>
  <c r="J9" i="17"/>
  <c r="K9" i="17"/>
  <c r="L9" i="17"/>
  <c r="M9" i="17"/>
  <c r="N9" i="17"/>
  <c r="O9" i="17"/>
  <c r="P9" i="17"/>
  <c r="Q9" i="17"/>
  <c r="R9" i="17"/>
  <c r="S9" i="17"/>
  <c r="T9" i="17"/>
  <c r="U9" i="17"/>
  <c r="V9" i="17"/>
  <c r="V84" i="16"/>
  <c r="U84" i="16"/>
  <c r="T84" i="16"/>
  <c r="S84" i="16"/>
  <c r="R84" i="16"/>
  <c r="Q84" i="16"/>
  <c r="P84" i="16"/>
  <c r="O84" i="16"/>
  <c r="N84" i="16"/>
  <c r="M84" i="16"/>
  <c r="L84" i="16"/>
  <c r="K84" i="16"/>
  <c r="J84" i="16"/>
  <c r="I84" i="16"/>
  <c r="H84" i="16"/>
  <c r="G84" i="16"/>
  <c r="F84" i="16"/>
  <c r="E84" i="16"/>
  <c r="D84" i="16"/>
  <c r="C84" i="16"/>
  <c r="V82" i="16"/>
  <c r="U82" i="16"/>
  <c r="T82" i="16"/>
  <c r="S82" i="16"/>
  <c r="R82" i="16"/>
  <c r="Q82" i="16"/>
  <c r="P82" i="16"/>
  <c r="O82" i="16"/>
  <c r="N82" i="16"/>
  <c r="M82" i="16"/>
  <c r="L82" i="16"/>
  <c r="K82" i="16"/>
  <c r="J82" i="16"/>
  <c r="I82" i="16"/>
  <c r="H82" i="16"/>
  <c r="G82" i="16"/>
  <c r="F82" i="16"/>
  <c r="E82" i="16"/>
  <c r="D82" i="16"/>
  <c r="C82" i="16"/>
  <c r="V80" i="16"/>
  <c r="U80" i="16"/>
  <c r="T80" i="16"/>
  <c r="S80" i="16"/>
  <c r="R80" i="16"/>
  <c r="Q80" i="16"/>
  <c r="P80" i="16"/>
  <c r="O80" i="16"/>
  <c r="N80" i="16"/>
  <c r="M80" i="16"/>
  <c r="L80" i="16"/>
  <c r="K80" i="16"/>
  <c r="J80" i="16"/>
  <c r="I80" i="16"/>
  <c r="H80" i="16"/>
  <c r="G80" i="16"/>
  <c r="F80" i="16"/>
  <c r="E80" i="16"/>
  <c r="D80" i="16"/>
  <c r="C80" i="16"/>
  <c r="V78" i="16"/>
  <c r="U78" i="16"/>
  <c r="T78" i="16"/>
  <c r="S78" i="16"/>
  <c r="R78" i="16"/>
  <c r="Q78" i="16"/>
  <c r="P78" i="16"/>
  <c r="O78" i="16"/>
  <c r="N78" i="16"/>
  <c r="M78" i="16"/>
  <c r="L78" i="16"/>
  <c r="K78" i="16"/>
  <c r="J78" i="16"/>
  <c r="I78" i="16"/>
  <c r="H78" i="16"/>
  <c r="G78" i="16"/>
  <c r="F78" i="16"/>
  <c r="E78" i="16"/>
  <c r="D78" i="16"/>
  <c r="C78" i="16"/>
  <c r="V76" i="16"/>
  <c r="U76" i="16"/>
  <c r="T76" i="16"/>
  <c r="S76" i="16"/>
  <c r="R76" i="16"/>
  <c r="Q76" i="16"/>
  <c r="P76" i="16"/>
  <c r="O76" i="16"/>
  <c r="N76" i="16"/>
  <c r="M76" i="16"/>
  <c r="L76" i="16"/>
  <c r="K76" i="16"/>
  <c r="J76" i="16"/>
  <c r="I76" i="16"/>
  <c r="H76" i="16"/>
  <c r="G76" i="16"/>
  <c r="F76" i="16"/>
  <c r="E76" i="16"/>
  <c r="D76" i="16"/>
  <c r="C76" i="16"/>
  <c r="V74" i="16"/>
  <c r="U74" i="16"/>
  <c r="T74" i="16"/>
  <c r="S74" i="16"/>
  <c r="R74" i="16"/>
  <c r="Q74" i="16"/>
  <c r="P74" i="16"/>
  <c r="O74" i="16"/>
  <c r="N74" i="16"/>
  <c r="M74" i="16"/>
  <c r="L74" i="16"/>
  <c r="K74" i="16"/>
  <c r="J74" i="16"/>
  <c r="I74" i="16"/>
  <c r="H74" i="16"/>
  <c r="G74" i="16"/>
  <c r="F74" i="16"/>
  <c r="E74" i="16"/>
  <c r="D74" i="16"/>
  <c r="C74" i="16"/>
  <c r="V72" i="16"/>
  <c r="U72" i="16"/>
  <c r="T72" i="16"/>
  <c r="S72" i="16"/>
  <c r="R72" i="16"/>
  <c r="Q72" i="16"/>
  <c r="P72" i="16"/>
  <c r="O72" i="16"/>
  <c r="N72" i="16"/>
  <c r="M72" i="16"/>
  <c r="L72" i="16"/>
  <c r="K72" i="16"/>
  <c r="J72" i="16"/>
  <c r="I72" i="16"/>
  <c r="H72" i="16"/>
  <c r="G72" i="16"/>
  <c r="F72" i="16"/>
  <c r="E72" i="16"/>
  <c r="D72" i="16"/>
  <c r="C72" i="16"/>
  <c r="V70" i="16"/>
  <c r="U70" i="16"/>
  <c r="T70" i="16"/>
  <c r="S70" i="16"/>
  <c r="R70" i="16"/>
  <c r="Q70" i="16"/>
  <c r="P70" i="16"/>
  <c r="O70" i="16"/>
  <c r="N70" i="16"/>
  <c r="M70" i="16"/>
  <c r="L70" i="16"/>
  <c r="K70" i="16"/>
  <c r="J70" i="16"/>
  <c r="I70" i="16"/>
  <c r="H70" i="16"/>
  <c r="G70" i="16"/>
  <c r="F70" i="16"/>
  <c r="E70" i="16"/>
  <c r="D70" i="16"/>
  <c r="C70" i="16"/>
  <c r="V68" i="16"/>
  <c r="U68" i="16"/>
  <c r="T68" i="16"/>
  <c r="S68" i="16"/>
  <c r="R68" i="16"/>
  <c r="Q68" i="16"/>
  <c r="P68" i="16"/>
  <c r="O68" i="16"/>
  <c r="N68" i="16"/>
  <c r="M68" i="16"/>
  <c r="L68" i="16"/>
  <c r="K68" i="16"/>
  <c r="J68" i="16"/>
  <c r="I68" i="16"/>
  <c r="H68" i="16"/>
  <c r="G68" i="16"/>
  <c r="F68" i="16"/>
  <c r="E68" i="16"/>
  <c r="D68" i="16"/>
  <c r="C68" i="16"/>
  <c r="V66" i="16"/>
  <c r="U66" i="16"/>
  <c r="T66" i="16"/>
  <c r="S66" i="16"/>
  <c r="R66" i="16"/>
  <c r="Q66" i="16"/>
  <c r="P66" i="16"/>
  <c r="O66" i="16"/>
  <c r="N66" i="16"/>
  <c r="M66" i="16"/>
  <c r="L66" i="16"/>
  <c r="K66" i="16"/>
  <c r="J66" i="16"/>
  <c r="I66" i="16"/>
  <c r="H66" i="16"/>
  <c r="G66" i="16"/>
  <c r="F66" i="16"/>
  <c r="E66" i="16"/>
  <c r="D66" i="16"/>
  <c r="C66" i="16"/>
  <c r="V64" i="16"/>
  <c r="U64" i="16"/>
  <c r="T64" i="16"/>
  <c r="S64" i="16"/>
  <c r="R64" i="16"/>
  <c r="Q64" i="16"/>
  <c r="P64" i="16"/>
  <c r="O64" i="16"/>
  <c r="N64" i="16"/>
  <c r="M64" i="16"/>
  <c r="L64" i="16"/>
  <c r="K64" i="16"/>
  <c r="J64" i="16"/>
  <c r="I64" i="16"/>
  <c r="H64" i="16"/>
  <c r="G64" i="16"/>
  <c r="F64" i="16"/>
  <c r="E64" i="16"/>
  <c r="D64" i="16"/>
  <c r="C64" i="16"/>
  <c r="V62" i="16"/>
  <c r="U62" i="16"/>
  <c r="T62" i="16"/>
  <c r="S62" i="16"/>
  <c r="R62" i="16"/>
  <c r="Q62" i="16"/>
  <c r="P62" i="16"/>
  <c r="O62" i="16"/>
  <c r="N62" i="16"/>
  <c r="M62" i="16"/>
  <c r="L62" i="16"/>
  <c r="K62" i="16"/>
  <c r="J62" i="16"/>
  <c r="I62" i="16"/>
  <c r="H62" i="16"/>
  <c r="G62" i="16"/>
  <c r="F62" i="16"/>
  <c r="E62" i="16"/>
  <c r="D62" i="16"/>
  <c r="C62" i="16"/>
  <c r="V60" i="16"/>
  <c r="U60" i="16"/>
  <c r="T60" i="16"/>
  <c r="S60" i="16"/>
  <c r="R60" i="16"/>
  <c r="Q60" i="16"/>
  <c r="P60" i="16"/>
  <c r="O60" i="16"/>
  <c r="N60" i="16"/>
  <c r="M60" i="16"/>
  <c r="L60" i="16"/>
  <c r="K60" i="16"/>
  <c r="J60" i="16"/>
  <c r="I60" i="16"/>
  <c r="H60" i="16"/>
  <c r="G60" i="16"/>
  <c r="F60" i="16"/>
  <c r="E60" i="16"/>
  <c r="D60" i="16"/>
  <c r="C60" i="16"/>
  <c r="V58" i="16"/>
  <c r="U58" i="16"/>
  <c r="T58" i="16"/>
  <c r="S58" i="16"/>
  <c r="R58" i="16"/>
  <c r="Q58" i="16"/>
  <c r="P58" i="16"/>
  <c r="O58" i="16"/>
  <c r="N58" i="16"/>
  <c r="M58" i="16"/>
  <c r="L58" i="16"/>
  <c r="K58" i="16"/>
  <c r="J58" i="16"/>
  <c r="I58" i="16"/>
  <c r="H58" i="16"/>
  <c r="G58" i="16"/>
  <c r="F58" i="16"/>
  <c r="E58" i="16"/>
  <c r="D58" i="16"/>
  <c r="C58" i="16"/>
  <c r="V56" i="16"/>
  <c r="U56" i="16"/>
  <c r="T56" i="16"/>
  <c r="S56" i="16"/>
  <c r="R56" i="16"/>
  <c r="Q56" i="16"/>
  <c r="P56" i="16"/>
  <c r="O56" i="16"/>
  <c r="N56" i="16"/>
  <c r="M56" i="16"/>
  <c r="L56" i="16"/>
  <c r="K56" i="16"/>
  <c r="J56" i="16"/>
  <c r="I56" i="16"/>
  <c r="H56" i="16"/>
  <c r="G56" i="16"/>
  <c r="F56" i="16"/>
  <c r="E56" i="16"/>
  <c r="D56" i="16"/>
  <c r="C56" i="16"/>
  <c r="V54" i="16"/>
  <c r="U54" i="16"/>
  <c r="T54" i="16"/>
  <c r="S54" i="16"/>
  <c r="R54" i="16"/>
  <c r="Q54" i="16"/>
  <c r="P54" i="16"/>
  <c r="O54" i="16"/>
  <c r="N54" i="16"/>
  <c r="M54" i="16"/>
  <c r="L54" i="16"/>
  <c r="K54" i="16"/>
  <c r="J54" i="16"/>
  <c r="I54" i="16"/>
  <c r="H54" i="16"/>
  <c r="G54" i="16"/>
  <c r="F54" i="16"/>
  <c r="E54" i="16"/>
  <c r="D54" i="16"/>
  <c r="C54" i="16"/>
  <c r="V52" i="16"/>
  <c r="U52" i="16"/>
  <c r="T52" i="16"/>
  <c r="S52" i="16"/>
  <c r="R52" i="16"/>
  <c r="Q52" i="16"/>
  <c r="P52" i="16"/>
  <c r="O52" i="16"/>
  <c r="N52" i="16"/>
  <c r="M52" i="16"/>
  <c r="L52" i="16"/>
  <c r="K52" i="16"/>
  <c r="J52" i="16"/>
  <c r="I52" i="16"/>
  <c r="H52" i="16"/>
  <c r="G52" i="16"/>
  <c r="F52" i="16"/>
  <c r="E52" i="16"/>
  <c r="D52" i="16"/>
  <c r="C52" i="16"/>
  <c r="V50" i="16"/>
  <c r="U50" i="16"/>
  <c r="T50" i="16"/>
  <c r="S50" i="16"/>
  <c r="R50" i="16"/>
  <c r="Q50" i="16"/>
  <c r="P50" i="16"/>
  <c r="O50" i="16"/>
  <c r="N50" i="16"/>
  <c r="M50" i="16"/>
  <c r="L50" i="16"/>
  <c r="K50" i="16"/>
  <c r="J50" i="16"/>
  <c r="I50" i="16"/>
  <c r="H50" i="16"/>
  <c r="G50" i="16"/>
  <c r="F50" i="16"/>
  <c r="E50" i="16"/>
  <c r="D50" i="16"/>
  <c r="C50" i="16"/>
  <c r="V48" i="16"/>
  <c r="U48" i="16"/>
  <c r="T48" i="16"/>
  <c r="S48" i="16"/>
  <c r="R48" i="16"/>
  <c r="Q48" i="16"/>
  <c r="P48" i="16"/>
  <c r="O48" i="16"/>
  <c r="N48" i="16"/>
  <c r="M48" i="16"/>
  <c r="L48" i="16"/>
  <c r="K48" i="16"/>
  <c r="J48" i="16"/>
  <c r="I48" i="16"/>
  <c r="H48" i="16"/>
  <c r="G48" i="16"/>
  <c r="F48" i="16"/>
  <c r="E48" i="16"/>
  <c r="D48" i="16"/>
  <c r="C48" i="16"/>
  <c r="V44" i="16"/>
  <c r="U44" i="16"/>
  <c r="T44" i="16"/>
  <c r="S44" i="16"/>
  <c r="R44" i="16"/>
  <c r="Q44" i="16"/>
  <c r="P44" i="16"/>
  <c r="O44" i="16"/>
  <c r="N44" i="16"/>
  <c r="M44" i="16"/>
  <c r="L44" i="16"/>
  <c r="K44" i="16"/>
  <c r="J44" i="16"/>
  <c r="I44" i="16"/>
  <c r="H44" i="16"/>
  <c r="G44" i="16"/>
  <c r="F44" i="16"/>
  <c r="E44" i="16"/>
  <c r="D44" i="16"/>
  <c r="C44" i="16"/>
  <c r="V43" i="16"/>
  <c r="U43" i="16"/>
  <c r="T43" i="16"/>
  <c r="S43" i="16"/>
  <c r="R43" i="16"/>
  <c r="Q43" i="16"/>
  <c r="P43" i="16"/>
  <c r="O43" i="16"/>
  <c r="N43" i="16"/>
  <c r="M43" i="16"/>
  <c r="L43" i="16"/>
  <c r="K43" i="16"/>
  <c r="J43" i="16"/>
  <c r="I43" i="16"/>
  <c r="H43" i="16"/>
  <c r="G43" i="16"/>
  <c r="F43" i="16"/>
  <c r="E43" i="16"/>
  <c r="D43" i="16"/>
  <c r="C43" i="16"/>
  <c r="V42" i="16"/>
  <c r="U42" i="16"/>
  <c r="T42" i="16"/>
  <c r="S42" i="16"/>
  <c r="R42" i="16"/>
  <c r="Q42" i="16"/>
  <c r="P42" i="16"/>
  <c r="O42" i="16"/>
  <c r="N42" i="16"/>
  <c r="M42" i="16"/>
  <c r="L42" i="16"/>
  <c r="K42" i="16"/>
  <c r="J42" i="16"/>
  <c r="I42" i="16"/>
  <c r="H42" i="16"/>
  <c r="G42" i="16"/>
  <c r="F42" i="16"/>
  <c r="E42" i="16"/>
  <c r="D42" i="16"/>
  <c r="C42" i="16"/>
  <c r="V36" i="16"/>
  <c r="U36" i="16"/>
  <c r="T36" i="16"/>
  <c r="S36" i="16"/>
  <c r="R36" i="16"/>
  <c r="Q36" i="16"/>
  <c r="P36" i="16"/>
  <c r="O36" i="16"/>
  <c r="N36" i="16"/>
  <c r="M36" i="16"/>
  <c r="L36" i="16"/>
  <c r="K36" i="16"/>
  <c r="J36" i="16"/>
  <c r="I36" i="16"/>
  <c r="H36" i="16"/>
  <c r="G36" i="16"/>
  <c r="F36" i="16"/>
  <c r="E36" i="16"/>
  <c r="D36" i="16"/>
  <c r="C36" i="16"/>
  <c r="V28" i="16"/>
  <c r="U28" i="16"/>
  <c r="T28" i="16"/>
  <c r="S28" i="16"/>
  <c r="R28" i="16"/>
  <c r="Q28" i="16"/>
  <c r="P28" i="16"/>
  <c r="O28" i="16"/>
  <c r="N28" i="16"/>
  <c r="M28" i="16"/>
  <c r="L28" i="16"/>
  <c r="K28" i="16"/>
  <c r="J28" i="16"/>
  <c r="I28" i="16"/>
  <c r="H28" i="16"/>
  <c r="G28" i="16"/>
  <c r="F28" i="16"/>
  <c r="E28" i="16"/>
  <c r="D28" i="16"/>
  <c r="C28" i="16"/>
  <c r="V20" i="16"/>
  <c r="U20" i="16"/>
  <c r="T20" i="16"/>
  <c r="S20" i="16"/>
  <c r="R20" i="16"/>
  <c r="Q20" i="16"/>
  <c r="P20" i="16"/>
  <c r="O20" i="16"/>
  <c r="N20" i="16"/>
  <c r="M20" i="16"/>
  <c r="L20" i="16"/>
  <c r="K20" i="16"/>
  <c r="J20" i="16"/>
  <c r="I20" i="16"/>
  <c r="H20" i="16"/>
  <c r="G20" i="16"/>
  <c r="F20" i="16"/>
  <c r="E20" i="16"/>
  <c r="D20" i="16"/>
  <c r="C20" i="16"/>
  <c r="V12" i="16"/>
  <c r="U12" i="16"/>
  <c r="T12" i="16"/>
  <c r="S12" i="16"/>
  <c r="R12" i="16"/>
  <c r="Q12" i="16"/>
  <c r="P12" i="16"/>
  <c r="O12" i="16"/>
  <c r="N12" i="16"/>
  <c r="M12" i="16"/>
  <c r="L12" i="16"/>
  <c r="K12" i="16"/>
  <c r="J12" i="16"/>
  <c r="I12" i="16"/>
  <c r="H12" i="16"/>
  <c r="G12" i="16"/>
  <c r="F12" i="16"/>
  <c r="E12" i="16"/>
  <c r="D12" i="16"/>
  <c r="C12" i="16"/>
  <c r="V7" i="16"/>
  <c r="U7" i="16"/>
  <c r="T7" i="16"/>
  <c r="S7" i="16"/>
  <c r="R7" i="16"/>
  <c r="Q7" i="16"/>
  <c r="P7" i="16"/>
  <c r="O7" i="16"/>
  <c r="N7" i="16"/>
  <c r="M7" i="16"/>
  <c r="L7" i="16"/>
  <c r="K7" i="16"/>
  <c r="J7" i="16"/>
  <c r="I7" i="16"/>
  <c r="H7" i="16"/>
  <c r="G7" i="16"/>
  <c r="F7" i="16"/>
  <c r="E7" i="16"/>
  <c r="D7" i="16"/>
  <c r="C7" i="16"/>
  <c r="V6" i="16"/>
  <c r="U6" i="16"/>
  <c r="T6" i="16"/>
  <c r="S6" i="16"/>
  <c r="R6" i="16"/>
  <c r="Q6" i="16"/>
  <c r="P6" i="16"/>
  <c r="O6" i="16"/>
  <c r="N6" i="16"/>
  <c r="M6" i="16"/>
  <c r="L6" i="16"/>
  <c r="K6" i="16"/>
  <c r="J6" i="16"/>
  <c r="I6" i="16"/>
  <c r="H6" i="16"/>
  <c r="G6" i="16"/>
  <c r="F6" i="16"/>
  <c r="E6" i="16"/>
  <c r="D6" i="16"/>
  <c r="C6" i="16"/>
  <c r="AC67" i="15"/>
  <c r="AC63" i="15"/>
  <c r="AC59" i="15"/>
  <c r="AC55" i="15"/>
  <c r="AC51" i="15"/>
  <c r="AC47" i="15"/>
  <c r="AC43" i="15"/>
  <c r="AC39" i="15"/>
  <c r="AC37" i="15"/>
  <c r="AC33" i="15"/>
  <c r="AC32" i="15"/>
  <c r="AC69" i="15" s="1"/>
  <c r="AC27" i="15"/>
  <c r="AC26" i="15"/>
  <c r="AC19" i="15"/>
  <c r="AC18" i="15"/>
  <c r="AC11" i="15"/>
  <c r="AC10" i="15"/>
  <c r="AB67" i="15"/>
  <c r="AB69" i="15" s="1"/>
  <c r="AB63" i="15"/>
  <c r="AB65" i="15" s="1"/>
  <c r="AB59" i="15"/>
  <c r="AB61" i="15" s="1"/>
  <c r="AB57" i="15"/>
  <c r="AB55" i="15"/>
  <c r="AB51" i="15"/>
  <c r="AB47" i="15"/>
  <c r="AB43" i="15"/>
  <c r="AB39" i="15"/>
  <c r="AB37" i="15"/>
  <c r="AB33" i="15"/>
  <c r="AB32" i="15"/>
  <c r="AB53" i="15" s="1"/>
  <c r="AB27" i="15"/>
  <c r="AB26" i="15"/>
  <c r="AB19" i="15"/>
  <c r="AB18" i="15"/>
  <c r="AB11" i="15"/>
  <c r="AB10" i="15"/>
  <c r="AA67" i="15"/>
  <c r="AA69" i="15" s="1"/>
  <c r="AA63" i="15"/>
  <c r="AA65" i="15" s="1"/>
  <c r="AA59" i="15"/>
  <c r="AA61" i="15" s="1"/>
  <c r="AA55" i="15"/>
  <c r="AA57" i="15" s="1"/>
  <c r="AA51" i="15"/>
  <c r="AA53" i="15" s="1"/>
  <c r="AA49" i="15"/>
  <c r="AA47" i="15"/>
  <c r="AA45" i="15"/>
  <c r="AA43" i="15"/>
  <c r="AA39" i="15"/>
  <c r="AA37" i="15"/>
  <c r="AA33" i="15"/>
  <c r="AA32" i="15"/>
  <c r="AA41" i="15" s="1"/>
  <c r="AA27" i="15"/>
  <c r="AA26" i="15"/>
  <c r="AA19" i="15"/>
  <c r="AA18" i="15"/>
  <c r="AA11" i="15"/>
  <c r="AA10" i="15"/>
  <c r="Z67" i="15"/>
  <c r="Z63" i="15"/>
  <c r="Z59" i="15"/>
  <c r="Z55" i="15"/>
  <c r="Z51" i="15"/>
  <c r="Z47" i="15"/>
  <c r="Z43" i="15"/>
  <c r="Z39" i="15"/>
  <c r="Z37" i="15"/>
  <c r="Z33" i="15"/>
  <c r="Z32" i="15"/>
  <c r="Z69" i="15" s="1"/>
  <c r="Z27" i="15"/>
  <c r="Z26" i="15"/>
  <c r="Z19" i="15"/>
  <c r="Z18" i="15"/>
  <c r="Z11" i="15"/>
  <c r="Z10" i="15"/>
  <c r="Y67" i="15"/>
  <c r="Y63" i="15"/>
  <c r="Y59" i="15"/>
  <c r="Y55" i="15"/>
  <c r="Y51" i="15"/>
  <c r="Y47" i="15"/>
  <c r="Y43" i="15"/>
  <c r="Y39" i="15"/>
  <c r="Y37" i="15"/>
  <c r="Y33" i="15"/>
  <c r="Y32" i="15"/>
  <c r="Y69" i="15" s="1"/>
  <c r="Y27" i="15"/>
  <c r="Y26" i="15"/>
  <c r="Y19" i="15"/>
  <c r="Y18" i="15"/>
  <c r="Y11" i="15"/>
  <c r="Y10" i="15"/>
  <c r="X67" i="15"/>
  <c r="X69" i="15" s="1"/>
  <c r="X65" i="15"/>
  <c r="X63" i="15"/>
  <c r="X59" i="15"/>
  <c r="X55" i="15"/>
  <c r="X51" i="15"/>
  <c r="X47" i="15"/>
  <c r="X43" i="15"/>
  <c r="X45" i="15" s="1"/>
  <c r="X41" i="15"/>
  <c r="X39" i="15"/>
  <c r="X37" i="15"/>
  <c r="X33" i="15"/>
  <c r="X32" i="15"/>
  <c r="X61" i="15" s="1"/>
  <c r="X27" i="15"/>
  <c r="X26" i="15"/>
  <c r="X19" i="15"/>
  <c r="X18" i="15"/>
  <c r="X11" i="15"/>
  <c r="X10" i="15"/>
  <c r="W67" i="15"/>
  <c r="W69" i="15" s="1"/>
  <c r="W63" i="15"/>
  <c r="W65" i="15" s="1"/>
  <c r="W59" i="15"/>
  <c r="W61" i="15" s="1"/>
  <c r="W57" i="15"/>
  <c r="W55" i="15"/>
  <c r="W53" i="15"/>
  <c r="W51" i="15"/>
  <c r="W47" i="15"/>
  <c r="W43" i="15"/>
  <c r="W39" i="15"/>
  <c r="W37" i="15"/>
  <c r="W33" i="15"/>
  <c r="W32" i="15"/>
  <c r="W49" i="15" s="1"/>
  <c r="W27" i="15"/>
  <c r="W26" i="15"/>
  <c r="W19" i="15"/>
  <c r="W18" i="15"/>
  <c r="W11" i="15"/>
  <c r="W10" i="15"/>
  <c r="V67" i="15"/>
  <c r="V63" i="15"/>
  <c r="V59" i="15"/>
  <c r="V55" i="15"/>
  <c r="V51" i="15"/>
  <c r="V47" i="15"/>
  <c r="V49" i="15" s="1"/>
  <c r="V43" i="15"/>
  <c r="V45" i="15" s="1"/>
  <c r="V39" i="15"/>
  <c r="V41" i="15" s="1"/>
  <c r="V37" i="15"/>
  <c r="V69" i="15" s="1"/>
  <c r="V33" i="15"/>
  <c r="V32" i="15"/>
  <c r="V27" i="15"/>
  <c r="V26" i="15"/>
  <c r="V19" i="15"/>
  <c r="V18" i="15"/>
  <c r="V11" i="15"/>
  <c r="V10" i="15"/>
  <c r="U67" i="15"/>
  <c r="U63" i="15"/>
  <c r="U59" i="15"/>
  <c r="U55" i="15"/>
  <c r="U51" i="15"/>
  <c r="U47" i="15"/>
  <c r="U43" i="15"/>
  <c r="U39" i="15"/>
  <c r="U37" i="15"/>
  <c r="U33" i="15"/>
  <c r="U32" i="15"/>
  <c r="U69" i="15" s="1"/>
  <c r="U27" i="15"/>
  <c r="U26" i="15"/>
  <c r="U19" i="15"/>
  <c r="U18" i="15"/>
  <c r="U11" i="15"/>
  <c r="U10" i="15"/>
  <c r="T67" i="15"/>
  <c r="T63" i="15"/>
  <c r="T59" i="15"/>
  <c r="T55" i="15"/>
  <c r="T51" i="15"/>
  <c r="T47" i="15"/>
  <c r="T43" i="15"/>
  <c r="T39" i="15"/>
  <c r="T37" i="15"/>
  <c r="T33" i="15"/>
  <c r="T32" i="15"/>
  <c r="T69" i="15" s="1"/>
  <c r="T27" i="15"/>
  <c r="T26" i="15"/>
  <c r="T19" i="15"/>
  <c r="T18" i="15"/>
  <c r="T11" i="15"/>
  <c r="T10" i="15"/>
  <c r="S67" i="15"/>
  <c r="S69" i="15" s="1"/>
  <c r="S65" i="15"/>
  <c r="S63" i="15"/>
  <c r="S61" i="15"/>
  <c r="S59" i="15"/>
  <c r="S55" i="15"/>
  <c r="S51" i="15"/>
  <c r="S47" i="15"/>
  <c r="S43" i="15"/>
  <c r="S39" i="15"/>
  <c r="S37" i="15"/>
  <c r="S45" i="15" s="1"/>
  <c r="S33" i="15"/>
  <c r="S32" i="15"/>
  <c r="S57" i="15" s="1"/>
  <c r="S27" i="15"/>
  <c r="S26" i="15"/>
  <c r="S19" i="15"/>
  <c r="S18" i="15"/>
  <c r="S11" i="15"/>
  <c r="S10" i="15"/>
  <c r="R67" i="15"/>
  <c r="R69" i="15" s="1"/>
  <c r="R63" i="15"/>
  <c r="R65" i="15" s="1"/>
  <c r="R61" i="15"/>
  <c r="R59" i="15"/>
  <c r="R55" i="15"/>
  <c r="R57" i="15" s="1"/>
  <c r="R51" i="15"/>
  <c r="R53" i="15" s="1"/>
  <c r="R47" i="15"/>
  <c r="R49" i="15" s="1"/>
  <c r="R45" i="15"/>
  <c r="R43" i="15"/>
  <c r="R39" i="15"/>
  <c r="R37" i="15"/>
  <c r="R33" i="15"/>
  <c r="R32" i="15"/>
  <c r="R41" i="15" s="1"/>
  <c r="R27" i="15"/>
  <c r="R26" i="15"/>
  <c r="R19" i="15"/>
  <c r="R18" i="15"/>
  <c r="R11" i="15"/>
  <c r="R10" i="15"/>
  <c r="Q67" i="15"/>
  <c r="Q63" i="15"/>
  <c r="Q59" i="15"/>
  <c r="Q55" i="15"/>
  <c r="Q51" i="15"/>
  <c r="Q47" i="15"/>
  <c r="Q43" i="15"/>
  <c r="Q39" i="15"/>
  <c r="Q37" i="15"/>
  <c r="Q33" i="15"/>
  <c r="Q32" i="15"/>
  <c r="Q69" i="15" s="1"/>
  <c r="Q27" i="15"/>
  <c r="Q26" i="15"/>
  <c r="Q19" i="15"/>
  <c r="Q18" i="15"/>
  <c r="Q11" i="15"/>
  <c r="Q10" i="15"/>
  <c r="P67" i="15"/>
  <c r="P63" i="15"/>
  <c r="P59" i="15"/>
  <c r="P55" i="15"/>
  <c r="P51" i="15"/>
  <c r="P47" i="15"/>
  <c r="P43" i="15"/>
  <c r="P39" i="15"/>
  <c r="P37" i="15"/>
  <c r="P33" i="15"/>
  <c r="P32" i="15"/>
  <c r="P69" i="15" s="1"/>
  <c r="P27" i="15"/>
  <c r="P26" i="15"/>
  <c r="P19" i="15"/>
  <c r="P18" i="15"/>
  <c r="P11" i="15"/>
  <c r="P10" i="15"/>
  <c r="O69" i="15"/>
  <c r="O67" i="15"/>
  <c r="O63" i="15"/>
  <c r="O59" i="15"/>
  <c r="O55" i="15"/>
  <c r="O51" i="15"/>
  <c r="O47" i="15"/>
  <c r="O43" i="15"/>
  <c r="O39" i="15"/>
  <c r="O37" i="15"/>
  <c r="O33" i="15"/>
  <c r="O32" i="15"/>
  <c r="O65" i="15" s="1"/>
  <c r="O27" i="15"/>
  <c r="O26" i="15"/>
  <c r="O19" i="15"/>
  <c r="O18" i="15"/>
  <c r="O11" i="15"/>
  <c r="O10" i="15"/>
  <c r="N69" i="15"/>
  <c r="N67" i="15"/>
  <c r="N63" i="15"/>
  <c r="N65" i="15" s="1"/>
  <c r="N59" i="15"/>
  <c r="N61" i="15" s="1"/>
  <c r="N55" i="15"/>
  <c r="N57" i="15" s="1"/>
  <c r="N53" i="15"/>
  <c r="N51" i="15"/>
  <c r="N47" i="15"/>
  <c r="N43" i="15"/>
  <c r="N39" i="15"/>
  <c r="N37" i="15"/>
  <c r="N33" i="15"/>
  <c r="N32" i="15"/>
  <c r="N49" i="15" s="1"/>
  <c r="N27" i="15"/>
  <c r="N26" i="15"/>
  <c r="N19" i="15"/>
  <c r="N18" i="15"/>
  <c r="N11" i="15"/>
  <c r="N10" i="15"/>
  <c r="M67" i="15"/>
  <c r="M69" i="15" s="1"/>
  <c r="M63" i="15"/>
  <c r="M65" i="15" s="1"/>
  <c r="M59" i="15"/>
  <c r="M61" i="15" s="1"/>
  <c r="M55" i="15"/>
  <c r="M57" i="15" s="1"/>
  <c r="M51" i="15"/>
  <c r="M53" i="15" s="1"/>
  <c r="M47" i="15"/>
  <c r="M49" i="15" s="1"/>
  <c r="M45" i="15"/>
  <c r="M43" i="15"/>
  <c r="M41" i="15"/>
  <c r="M39" i="15"/>
  <c r="M37" i="15"/>
  <c r="M33" i="15"/>
  <c r="M32" i="15"/>
  <c r="M27" i="15"/>
  <c r="M26" i="15"/>
  <c r="M19" i="15"/>
  <c r="M18" i="15"/>
  <c r="M11" i="15"/>
  <c r="M10" i="15"/>
  <c r="L67" i="15"/>
  <c r="L63" i="15"/>
  <c r="L59" i="15"/>
  <c r="L55" i="15"/>
  <c r="L51" i="15"/>
  <c r="L47" i="15"/>
  <c r="L43" i="15"/>
  <c r="L39" i="15"/>
  <c r="L37" i="15"/>
  <c r="L33" i="15"/>
  <c r="L32" i="15"/>
  <c r="L69" i="15" s="1"/>
  <c r="L27" i="15"/>
  <c r="L26" i="15"/>
  <c r="L19" i="15"/>
  <c r="L18" i="15"/>
  <c r="L11" i="15"/>
  <c r="L10" i="15"/>
  <c r="K67" i="15"/>
  <c r="K63" i="15"/>
  <c r="K59" i="15"/>
  <c r="K55" i="15"/>
  <c r="K51" i="15"/>
  <c r="K47" i="15"/>
  <c r="K43" i="15"/>
  <c r="K39" i="15"/>
  <c r="K37" i="15"/>
  <c r="K33" i="15"/>
  <c r="K32" i="15"/>
  <c r="K69" i="15" s="1"/>
  <c r="K27" i="15"/>
  <c r="K26" i="15"/>
  <c r="K19" i="15"/>
  <c r="K18" i="15"/>
  <c r="K11" i="15"/>
  <c r="K10" i="15"/>
  <c r="J67" i="15"/>
  <c r="J69" i="15" s="1"/>
  <c r="J63" i="15"/>
  <c r="J65" i="15" s="1"/>
  <c r="J61" i="15"/>
  <c r="J59" i="15"/>
  <c r="J55" i="15"/>
  <c r="J51" i="15"/>
  <c r="J47" i="15"/>
  <c r="J43" i="15"/>
  <c r="J39" i="15"/>
  <c r="J37" i="15"/>
  <c r="J49" i="15" s="1"/>
  <c r="J33" i="15"/>
  <c r="J32" i="15"/>
  <c r="J57" i="15" s="1"/>
  <c r="J27" i="15"/>
  <c r="J26" i="15"/>
  <c r="J19" i="15"/>
  <c r="J18" i="15"/>
  <c r="J11" i="15"/>
  <c r="J10" i="15"/>
  <c r="I67" i="15"/>
  <c r="I69" i="15" s="1"/>
  <c r="I63" i="15"/>
  <c r="I65" i="15" s="1"/>
  <c r="I59" i="15"/>
  <c r="I61" i="15" s="1"/>
  <c r="I55" i="15"/>
  <c r="I57" i="15" s="1"/>
  <c r="I53" i="15"/>
  <c r="I51" i="15"/>
  <c r="I49" i="15"/>
  <c r="I47" i="15"/>
  <c r="I43" i="15"/>
  <c r="I39" i="15"/>
  <c r="I37" i="15"/>
  <c r="I33" i="15"/>
  <c r="I32" i="15"/>
  <c r="I45" i="15" s="1"/>
  <c r="I27" i="15"/>
  <c r="I26" i="15"/>
  <c r="I19" i="15"/>
  <c r="I18" i="15"/>
  <c r="I11" i="15"/>
  <c r="I10" i="15"/>
  <c r="H67" i="15"/>
  <c r="H63" i="15"/>
  <c r="H59" i="15"/>
  <c r="H55" i="15"/>
  <c r="H51" i="15"/>
  <c r="H47" i="15"/>
  <c r="H43" i="15"/>
  <c r="H39" i="15"/>
  <c r="H37" i="15"/>
  <c r="H45" i="15" s="1"/>
  <c r="H33" i="15"/>
  <c r="H32" i="15"/>
  <c r="H69" i="15" s="1"/>
  <c r="H27" i="15"/>
  <c r="H26" i="15"/>
  <c r="H19" i="15"/>
  <c r="H18" i="15"/>
  <c r="H11" i="15"/>
  <c r="H10" i="15"/>
  <c r="G67" i="15"/>
  <c r="G63" i="15"/>
  <c r="G59" i="15"/>
  <c r="G55" i="15"/>
  <c r="G51" i="15"/>
  <c r="G47" i="15"/>
  <c r="G43" i="15"/>
  <c r="G39" i="15"/>
  <c r="G37" i="15"/>
  <c r="G33" i="15"/>
  <c r="G32" i="15"/>
  <c r="G69" i="15" s="1"/>
  <c r="G27" i="15"/>
  <c r="G26" i="15"/>
  <c r="G19" i="15"/>
  <c r="G18" i="15"/>
  <c r="G11" i="15"/>
  <c r="G10" i="15"/>
  <c r="F69" i="15"/>
  <c r="F67" i="15"/>
  <c r="F63" i="15"/>
  <c r="F59" i="15"/>
  <c r="F55" i="15"/>
  <c r="F51" i="15"/>
  <c r="F47" i="15"/>
  <c r="F43" i="15"/>
  <c r="F39" i="15"/>
  <c r="F37" i="15"/>
  <c r="F33" i="15"/>
  <c r="F32" i="15"/>
  <c r="F65" i="15" s="1"/>
  <c r="F27" i="15"/>
  <c r="F26" i="15"/>
  <c r="F19" i="15"/>
  <c r="F18" i="15"/>
  <c r="F11" i="15"/>
  <c r="F10" i="15"/>
  <c r="E67" i="15"/>
  <c r="E69" i="15" s="1"/>
  <c r="E63" i="15"/>
  <c r="E65" i="15" s="1"/>
  <c r="E59" i="15"/>
  <c r="E61" i="15" s="1"/>
  <c r="E57" i="15"/>
  <c r="E55" i="15"/>
  <c r="E51" i="15"/>
  <c r="E47" i="15"/>
  <c r="E43" i="15"/>
  <c r="E39" i="15"/>
  <c r="E37" i="15"/>
  <c r="E33" i="15"/>
  <c r="E32" i="15"/>
  <c r="E53" i="15" s="1"/>
  <c r="E27" i="15"/>
  <c r="E26" i="15"/>
  <c r="E19" i="15"/>
  <c r="E18" i="15"/>
  <c r="E11" i="15"/>
  <c r="E10" i="15"/>
  <c r="D67" i="15"/>
  <c r="D69" i="15" s="1"/>
  <c r="D63" i="15"/>
  <c r="D65" i="15" s="1"/>
  <c r="D59" i="15"/>
  <c r="D61" i="15" s="1"/>
  <c r="D55" i="15"/>
  <c r="D57" i="15" s="1"/>
  <c r="D51" i="15"/>
  <c r="D53" i="15" s="1"/>
  <c r="D47" i="15"/>
  <c r="D49" i="15" s="1"/>
  <c r="D43" i="15"/>
  <c r="D45" i="15" s="1"/>
  <c r="D41" i="15"/>
  <c r="D39" i="15"/>
  <c r="D37" i="15"/>
  <c r="D33" i="15"/>
  <c r="D32" i="15"/>
  <c r="D27" i="15"/>
  <c r="D26" i="15"/>
  <c r="D19" i="15"/>
  <c r="D18" i="15"/>
  <c r="D11" i="15"/>
  <c r="D10" i="15"/>
  <c r="C67" i="15"/>
  <c r="C63" i="15"/>
  <c r="C59" i="15"/>
  <c r="C55" i="15"/>
  <c r="C51" i="15"/>
  <c r="C47" i="15"/>
  <c r="C43" i="15"/>
  <c r="C39" i="15"/>
  <c r="C37" i="15"/>
  <c r="C33" i="15"/>
  <c r="C32" i="15"/>
  <c r="C69" i="15" s="1"/>
  <c r="C27" i="15"/>
  <c r="C26" i="15"/>
  <c r="C19" i="15"/>
  <c r="C18" i="15"/>
  <c r="C11" i="15"/>
  <c r="C10" i="15"/>
  <c r="V53" i="14"/>
  <c r="V51" i="14"/>
  <c r="V49" i="14"/>
  <c r="V47" i="14"/>
  <c r="V45" i="14"/>
  <c r="V43" i="14"/>
  <c r="V41" i="14"/>
  <c r="V39" i="14"/>
  <c r="V37" i="14"/>
  <c r="V35" i="14"/>
  <c r="V33" i="14"/>
  <c r="V31" i="14"/>
  <c r="V29" i="14"/>
  <c r="V27" i="14"/>
  <c r="U53" i="14"/>
  <c r="U51" i="14"/>
  <c r="U49" i="14"/>
  <c r="U47" i="14"/>
  <c r="U45" i="14"/>
  <c r="U43" i="14"/>
  <c r="U41" i="14"/>
  <c r="U39" i="14"/>
  <c r="U37" i="14"/>
  <c r="U35" i="14"/>
  <c r="U33" i="14"/>
  <c r="U31" i="14"/>
  <c r="U29" i="14"/>
  <c r="U27" i="14"/>
  <c r="T53" i="14"/>
  <c r="T51" i="14"/>
  <c r="T49" i="14"/>
  <c r="T47" i="14"/>
  <c r="T45" i="14"/>
  <c r="T43" i="14"/>
  <c r="T41" i="14"/>
  <c r="T39" i="14"/>
  <c r="T37" i="14"/>
  <c r="T35" i="14"/>
  <c r="T33" i="14"/>
  <c r="T31" i="14"/>
  <c r="T29" i="14"/>
  <c r="T27" i="14"/>
  <c r="S53" i="14"/>
  <c r="S51" i="14"/>
  <c r="S49" i="14"/>
  <c r="S47" i="14"/>
  <c r="S45" i="14"/>
  <c r="S43" i="14"/>
  <c r="S41" i="14"/>
  <c r="S39" i="14"/>
  <c r="S37" i="14"/>
  <c r="S35" i="14"/>
  <c r="S33" i="14"/>
  <c r="S31" i="14"/>
  <c r="S29" i="14"/>
  <c r="S27" i="14"/>
  <c r="R53" i="14"/>
  <c r="R51" i="14"/>
  <c r="R49" i="14"/>
  <c r="R47" i="14"/>
  <c r="R45" i="14"/>
  <c r="R43" i="14"/>
  <c r="R41" i="14"/>
  <c r="R39" i="14"/>
  <c r="R37" i="14"/>
  <c r="R35" i="14"/>
  <c r="R33" i="14"/>
  <c r="R31" i="14"/>
  <c r="R29" i="14"/>
  <c r="R27" i="14"/>
  <c r="Q53" i="14"/>
  <c r="Q51" i="14"/>
  <c r="Q49" i="14"/>
  <c r="Q47" i="14"/>
  <c r="Q45" i="14"/>
  <c r="Q43" i="14"/>
  <c r="Q41" i="14"/>
  <c r="Q39" i="14"/>
  <c r="Q37" i="14"/>
  <c r="Q35" i="14"/>
  <c r="Q33" i="14"/>
  <c r="Q31" i="14"/>
  <c r="Q29" i="14"/>
  <c r="Q27" i="14"/>
  <c r="P53" i="14"/>
  <c r="P51" i="14"/>
  <c r="P49" i="14"/>
  <c r="P47" i="14"/>
  <c r="P45" i="14"/>
  <c r="P43" i="14"/>
  <c r="P41" i="14"/>
  <c r="P39" i="14"/>
  <c r="P37" i="14"/>
  <c r="P35" i="14"/>
  <c r="P33" i="14"/>
  <c r="P31" i="14"/>
  <c r="P29" i="14"/>
  <c r="P27" i="14"/>
  <c r="O53" i="14"/>
  <c r="O51" i="14"/>
  <c r="O49" i="14"/>
  <c r="O47" i="14"/>
  <c r="O45" i="14"/>
  <c r="O43" i="14"/>
  <c r="O41" i="14"/>
  <c r="O39" i="14"/>
  <c r="O37" i="14"/>
  <c r="O35" i="14"/>
  <c r="O33" i="14"/>
  <c r="O31" i="14"/>
  <c r="O29" i="14"/>
  <c r="O27" i="14"/>
  <c r="N53" i="14"/>
  <c r="N51" i="14"/>
  <c r="N49" i="14"/>
  <c r="N47" i="14"/>
  <c r="N45" i="14"/>
  <c r="N43" i="14"/>
  <c r="N41" i="14"/>
  <c r="N39" i="14"/>
  <c r="N37" i="14"/>
  <c r="N35" i="14"/>
  <c r="N33" i="14"/>
  <c r="N31" i="14"/>
  <c r="N29" i="14"/>
  <c r="N27" i="14"/>
  <c r="M53" i="14"/>
  <c r="M51" i="14"/>
  <c r="M49" i="14"/>
  <c r="M47" i="14"/>
  <c r="M45" i="14"/>
  <c r="M43" i="14"/>
  <c r="M41" i="14"/>
  <c r="M39" i="14"/>
  <c r="M37" i="14"/>
  <c r="M35" i="14"/>
  <c r="M33" i="14"/>
  <c r="M31" i="14"/>
  <c r="M29" i="14"/>
  <c r="M27" i="14"/>
  <c r="L53" i="14"/>
  <c r="L51" i="14"/>
  <c r="L49" i="14"/>
  <c r="L47" i="14"/>
  <c r="L45" i="14"/>
  <c r="L43" i="14"/>
  <c r="L41" i="14"/>
  <c r="L39" i="14"/>
  <c r="L37" i="14"/>
  <c r="L35" i="14"/>
  <c r="L33" i="14"/>
  <c r="L31" i="14"/>
  <c r="L29" i="14"/>
  <c r="L27" i="14"/>
  <c r="K53" i="14"/>
  <c r="K51" i="14"/>
  <c r="K49" i="14"/>
  <c r="K47" i="14"/>
  <c r="K45" i="14"/>
  <c r="K43" i="14"/>
  <c r="K41" i="14"/>
  <c r="K39" i="14"/>
  <c r="K37" i="14"/>
  <c r="K35" i="14"/>
  <c r="K33" i="14"/>
  <c r="K31" i="14"/>
  <c r="K29" i="14"/>
  <c r="K27" i="14"/>
  <c r="J53" i="14"/>
  <c r="J51" i="14"/>
  <c r="J49" i="14"/>
  <c r="J47" i="14"/>
  <c r="J45" i="14"/>
  <c r="J43" i="14"/>
  <c r="J41" i="14"/>
  <c r="J39" i="14"/>
  <c r="J37" i="14"/>
  <c r="J35" i="14"/>
  <c r="J33" i="14"/>
  <c r="J31" i="14"/>
  <c r="J29" i="14"/>
  <c r="J27" i="14"/>
  <c r="I53" i="14"/>
  <c r="I51" i="14"/>
  <c r="I49" i="14"/>
  <c r="I47" i="14"/>
  <c r="I45" i="14"/>
  <c r="I43" i="14"/>
  <c r="I41" i="14"/>
  <c r="I39" i="14"/>
  <c r="I37" i="14"/>
  <c r="I35" i="14"/>
  <c r="I33" i="14"/>
  <c r="I31" i="14"/>
  <c r="I29" i="14"/>
  <c r="I27" i="14"/>
  <c r="H53" i="14"/>
  <c r="H51" i="14"/>
  <c r="H49" i="14"/>
  <c r="H47" i="14"/>
  <c r="H45" i="14"/>
  <c r="H43" i="14"/>
  <c r="H41" i="14"/>
  <c r="H39" i="14"/>
  <c r="H37" i="14"/>
  <c r="H35" i="14"/>
  <c r="H33" i="14"/>
  <c r="H31" i="14"/>
  <c r="H29" i="14"/>
  <c r="H27" i="14"/>
  <c r="G53" i="14"/>
  <c r="G51" i="14"/>
  <c r="G49" i="14"/>
  <c r="G47" i="14"/>
  <c r="G45" i="14"/>
  <c r="G43" i="14"/>
  <c r="G41" i="14"/>
  <c r="G39" i="14"/>
  <c r="G37" i="14"/>
  <c r="G35" i="14"/>
  <c r="G33" i="14"/>
  <c r="G31" i="14"/>
  <c r="G29" i="14"/>
  <c r="G27" i="14"/>
  <c r="F53" i="14"/>
  <c r="F51" i="14"/>
  <c r="F49" i="14"/>
  <c r="F47" i="14"/>
  <c r="F45" i="14"/>
  <c r="F43" i="14"/>
  <c r="F41" i="14"/>
  <c r="F39" i="14"/>
  <c r="F37" i="14"/>
  <c r="F35" i="14"/>
  <c r="F33" i="14"/>
  <c r="F31" i="14"/>
  <c r="F29" i="14"/>
  <c r="F27" i="14"/>
  <c r="E53" i="14"/>
  <c r="E51" i="14"/>
  <c r="E49" i="14"/>
  <c r="E47" i="14"/>
  <c r="E45" i="14"/>
  <c r="E43" i="14"/>
  <c r="E41" i="14"/>
  <c r="E39" i="14"/>
  <c r="E37" i="14"/>
  <c r="E35" i="14"/>
  <c r="E33" i="14"/>
  <c r="E31" i="14"/>
  <c r="E29" i="14"/>
  <c r="E27" i="14"/>
  <c r="D53" i="14"/>
  <c r="D51" i="14"/>
  <c r="D49" i="14"/>
  <c r="D47" i="14"/>
  <c r="D45" i="14"/>
  <c r="D43" i="14"/>
  <c r="D41" i="14"/>
  <c r="D39" i="14"/>
  <c r="D37" i="14"/>
  <c r="D35" i="14"/>
  <c r="D33" i="14"/>
  <c r="D31" i="14"/>
  <c r="D29" i="14"/>
  <c r="D27" i="14"/>
  <c r="C53" i="14"/>
  <c r="C51" i="14"/>
  <c r="C49" i="14"/>
  <c r="C47" i="14"/>
  <c r="C45" i="14"/>
  <c r="C43" i="14"/>
  <c r="C41" i="14"/>
  <c r="C39" i="14"/>
  <c r="C37" i="14"/>
  <c r="C35" i="14"/>
  <c r="C33" i="14"/>
  <c r="C31" i="14"/>
  <c r="C29" i="14"/>
  <c r="C27" i="14"/>
  <c r="V25" i="14"/>
  <c r="V19" i="14"/>
  <c r="V18" i="14"/>
  <c r="V20" i="14" s="1"/>
  <c r="V12" i="14"/>
  <c r="V9" i="14"/>
  <c r="V8" i="14"/>
  <c r="V7" i="14"/>
  <c r="U25" i="14"/>
  <c r="U19" i="14"/>
  <c r="U18" i="14"/>
  <c r="U20" i="14" s="1"/>
  <c r="U12" i="14"/>
  <c r="U9" i="14"/>
  <c r="U8" i="14"/>
  <c r="U7" i="14"/>
  <c r="T25" i="14"/>
  <c r="T19" i="14"/>
  <c r="T18" i="14"/>
  <c r="T20" i="14" s="1"/>
  <c r="T12" i="14"/>
  <c r="T9" i="14"/>
  <c r="T8" i="14"/>
  <c r="T7" i="14"/>
  <c r="S25" i="14"/>
  <c r="S19" i="14"/>
  <c r="S18" i="14"/>
  <c r="S20" i="14" s="1"/>
  <c r="S12" i="14"/>
  <c r="S9" i="14"/>
  <c r="S8" i="14"/>
  <c r="S7" i="14"/>
  <c r="R25" i="14"/>
  <c r="R19" i="14"/>
  <c r="R18" i="14"/>
  <c r="R20" i="14" s="1"/>
  <c r="R12" i="14"/>
  <c r="R9" i="14"/>
  <c r="R8" i="14"/>
  <c r="R7" i="14"/>
  <c r="Q25" i="14"/>
  <c r="Q19" i="14"/>
  <c r="Q18" i="14"/>
  <c r="Q20" i="14" s="1"/>
  <c r="Q12" i="14"/>
  <c r="Q9" i="14"/>
  <c r="Q8" i="14"/>
  <c r="Q7" i="14"/>
  <c r="P25" i="14"/>
  <c r="P19" i="14"/>
  <c r="P18" i="14"/>
  <c r="P20" i="14" s="1"/>
  <c r="P12" i="14"/>
  <c r="P9" i="14"/>
  <c r="P8" i="14"/>
  <c r="P7" i="14"/>
  <c r="O25" i="14"/>
  <c r="O19" i="14"/>
  <c r="O18" i="14"/>
  <c r="O20" i="14" s="1"/>
  <c r="O12" i="14"/>
  <c r="O9" i="14"/>
  <c r="O8" i="14"/>
  <c r="O7" i="14"/>
  <c r="N25" i="14"/>
  <c r="N19" i="14"/>
  <c r="N18" i="14"/>
  <c r="N20" i="14" s="1"/>
  <c r="N12" i="14"/>
  <c r="N9" i="14"/>
  <c r="N8" i="14"/>
  <c r="N7" i="14"/>
  <c r="M25" i="14"/>
  <c r="M19" i="14"/>
  <c r="M18" i="14"/>
  <c r="M20" i="14" s="1"/>
  <c r="M12" i="14"/>
  <c r="M9" i="14"/>
  <c r="M8" i="14"/>
  <c r="M7" i="14"/>
  <c r="L25" i="14"/>
  <c r="L19" i="14"/>
  <c r="L18" i="14"/>
  <c r="L20" i="14" s="1"/>
  <c r="L12" i="14"/>
  <c r="L9" i="14"/>
  <c r="L8" i="14"/>
  <c r="L7" i="14"/>
  <c r="K25" i="14"/>
  <c r="K19" i="14"/>
  <c r="K18" i="14"/>
  <c r="K20" i="14" s="1"/>
  <c r="K12" i="14"/>
  <c r="K9" i="14"/>
  <c r="K8" i="14"/>
  <c r="K7" i="14"/>
  <c r="J25" i="14"/>
  <c r="J19" i="14"/>
  <c r="J18" i="14"/>
  <c r="J20" i="14" s="1"/>
  <c r="J12" i="14"/>
  <c r="J9" i="14"/>
  <c r="J8" i="14"/>
  <c r="J7" i="14"/>
  <c r="I25" i="14"/>
  <c r="I19" i="14"/>
  <c r="I18" i="14"/>
  <c r="I20" i="14" s="1"/>
  <c r="I12" i="14"/>
  <c r="I9" i="14"/>
  <c r="I8" i="14"/>
  <c r="I7" i="14"/>
  <c r="H25" i="14"/>
  <c r="H19" i="14"/>
  <c r="H18" i="14"/>
  <c r="H20" i="14" s="1"/>
  <c r="H12" i="14"/>
  <c r="H9" i="14"/>
  <c r="H8" i="14"/>
  <c r="H7" i="14"/>
  <c r="G25" i="14"/>
  <c r="G19" i="14"/>
  <c r="G18" i="14"/>
  <c r="G20" i="14" s="1"/>
  <c r="G12" i="14"/>
  <c r="G9" i="14"/>
  <c r="G8" i="14"/>
  <c r="G7" i="14"/>
  <c r="F25" i="14"/>
  <c r="F19" i="14"/>
  <c r="F18" i="14"/>
  <c r="F20" i="14" s="1"/>
  <c r="F12" i="14"/>
  <c r="F9" i="14"/>
  <c r="F8" i="14"/>
  <c r="F7" i="14"/>
  <c r="E25" i="14"/>
  <c r="E19" i="14"/>
  <c r="E18" i="14"/>
  <c r="E20" i="14" s="1"/>
  <c r="E12" i="14"/>
  <c r="E9" i="14"/>
  <c r="E8" i="14"/>
  <c r="E7" i="14"/>
  <c r="D25" i="14"/>
  <c r="D19" i="14"/>
  <c r="D18" i="14"/>
  <c r="D20" i="14" s="1"/>
  <c r="D12" i="14"/>
  <c r="D9" i="14"/>
  <c r="D8" i="14"/>
  <c r="D7" i="14"/>
  <c r="C25" i="14"/>
  <c r="C19" i="14"/>
  <c r="C18" i="14"/>
  <c r="C20" i="14" s="1"/>
  <c r="C12" i="14"/>
  <c r="C9" i="14"/>
  <c r="C8" i="14"/>
  <c r="C7" i="14"/>
  <c r="H103" i="13"/>
  <c r="G103" i="13"/>
  <c r="F103" i="13"/>
  <c r="D103" i="13"/>
  <c r="C103" i="13" a="1"/>
  <c r="C103" i="13" s="1"/>
  <c r="B103" i="13" a="1"/>
  <c r="B103" i="13" s="1"/>
  <c r="H102" i="13"/>
  <c r="G102" i="13"/>
  <c r="F102" i="13"/>
  <c r="D102" i="13"/>
  <c r="C102" i="13" a="1"/>
  <c r="C102" i="13" s="1"/>
  <c r="B102" i="13" a="1"/>
  <c r="B102" i="13" s="1"/>
  <c r="H101" i="13"/>
  <c r="G101" i="13"/>
  <c r="F101" i="13"/>
  <c r="D101" i="13"/>
  <c r="C101" i="13" a="1"/>
  <c r="C101" i="13" s="1"/>
  <c r="B101" i="13" a="1"/>
  <c r="B101" i="13" s="1"/>
  <c r="H100" i="13"/>
  <c r="G100" i="13"/>
  <c r="F100" i="13"/>
  <c r="D100" i="13"/>
  <c r="C100" i="13" a="1"/>
  <c r="C100" i="13" s="1"/>
  <c r="B100" i="13" a="1"/>
  <c r="B100" i="13" s="1"/>
  <c r="H99" i="13"/>
  <c r="G99" i="13"/>
  <c r="F99" i="13"/>
  <c r="D99" i="13"/>
  <c r="C99" i="13" a="1"/>
  <c r="C99" i="13" s="1"/>
  <c r="B99" i="13" a="1"/>
  <c r="B99" i="13" s="1"/>
  <c r="H98" i="13"/>
  <c r="G98" i="13"/>
  <c r="F98" i="13"/>
  <c r="D98" i="13"/>
  <c r="C98" i="13" a="1"/>
  <c r="C98" i="13" s="1"/>
  <c r="B98" i="13" a="1"/>
  <c r="B98" i="13" s="1"/>
  <c r="H97" i="13"/>
  <c r="G97" i="13"/>
  <c r="F97" i="13"/>
  <c r="D97" i="13"/>
  <c r="C97" i="13" a="1"/>
  <c r="C97" i="13" s="1"/>
  <c r="B97" i="13" a="1"/>
  <c r="B97" i="13" s="1"/>
  <c r="B89" i="13"/>
  <c r="B88" i="13"/>
  <c r="B87" i="13"/>
  <c r="B86" i="13"/>
  <c r="B85" i="13"/>
  <c r="B84" i="13"/>
  <c r="G7" i="13"/>
  <c r="G8"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6" i="13"/>
  <c r="F63" i="13"/>
  <c r="E63" i="13"/>
  <c r="F62" i="13"/>
  <c r="E62" i="13"/>
  <c r="F61" i="13"/>
  <c r="E61" i="13"/>
  <c r="F60" i="13"/>
  <c r="E60" i="13"/>
  <c r="F59" i="13"/>
  <c r="E59" i="13"/>
  <c r="F58" i="13"/>
  <c r="E58" i="13"/>
  <c r="F57" i="13"/>
  <c r="E57" i="13"/>
  <c r="F56" i="13"/>
  <c r="E56" i="13"/>
  <c r="F55" i="13"/>
  <c r="E55" i="13"/>
  <c r="F47" i="13"/>
  <c r="E47" i="13"/>
  <c r="F46" i="13"/>
  <c r="E46" i="13"/>
  <c r="F45" i="13"/>
  <c r="E45" i="13"/>
  <c r="F44" i="13"/>
  <c r="E44" i="13"/>
  <c r="F43" i="13"/>
  <c r="E43" i="13"/>
  <c r="F42" i="13"/>
  <c r="E42" i="13"/>
  <c r="F41" i="13"/>
  <c r="E41" i="13"/>
  <c r="F40" i="13"/>
  <c r="E40" i="13"/>
  <c r="F39" i="13"/>
  <c r="E39" i="13"/>
  <c r="F38" i="13"/>
  <c r="E38" i="13"/>
  <c r="F37" i="13"/>
  <c r="E37" i="13"/>
  <c r="F36" i="13"/>
  <c r="E36" i="13"/>
  <c r="F35" i="13"/>
  <c r="E35" i="13"/>
  <c r="F34" i="13"/>
  <c r="E34" i="13"/>
  <c r="F33" i="13"/>
  <c r="E33" i="13"/>
  <c r="F32" i="13"/>
  <c r="E32" i="13"/>
  <c r="F31" i="13"/>
  <c r="E31" i="13"/>
  <c r="F30" i="13"/>
  <c r="E30" i="13"/>
  <c r="F29" i="13"/>
  <c r="E29" i="13"/>
  <c r="F28" i="13"/>
  <c r="E28" i="13"/>
  <c r="F27" i="13"/>
  <c r="E27" i="13"/>
  <c r="F26" i="13"/>
  <c r="E26" i="13"/>
  <c r="F25" i="13"/>
  <c r="E25" i="13"/>
  <c r="F24" i="13"/>
  <c r="E24" i="13"/>
  <c r="F23" i="13"/>
  <c r="E23" i="13"/>
  <c r="F22" i="13"/>
  <c r="E22" i="13"/>
  <c r="F21" i="13"/>
  <c r="E21" i="13"/>
  <c r="F20" i="13"/>
  <c r="E20" i="13"/>
  <c r="F19" i="13"/>
  <c r="E19" i="13"/>
  <c r="F18" i="13"/>
  <c r="E18" i="13"/>
  <c r="F17" i="13"/>
  <c r="E17" i="13"/>
  <c r="F16" i="13"/>
  <c r="E16" i="13"/>
  <c r="F15" i="13"/>
  <c r="E15" i="13"/>
  <c r="F14" i="13"/>
  <c r="E14" i="13"/>
  <c r="F13" i="13"/>
  <c r="E13" i="13"/>
  <c r="F12" i="13"/>
  <c r="E12" i="13"/>
  <c r="F11" i="13"/>
  <c r="E11" i="13"/>
  <c r="F10" i="13"/>
  <c r="E10" i="13"/>
  <c r="F9" i="13"/>
  <c r="E9" i="13"/>
  <c r="F8" i="13"/>
  <c r="E8" i="13"/>
  <c r="F7" i="13"/>
  <c r="E7" i="13"/>
  <c r="F6" i="13"/>
  <c r="E6" i="13"/>
  <c r="T50" i="12"/>
  <c r="T46" i="12"/>
  <c r="T42" i="12"/>
  <c r="S50" i="12"/>
  <c r="S46" i="12"/>
  <c r="S42" i="12"/>
  <c r="R50" i="12"/>
  <c r="R46" i="12"/>
  <c r="R42" i="12"/>
  <c r="Q50" i="12"/>
  <c r="Q46" i="12"/>
  <c r="Q42" i="12"/>
  <c r="P50" i="12"/>
  <c r="P46" i="12"/>
  <c r="P42" i="12"/>
  <c r="G50" i="12"/>
  <c r="G46" i="12"/>
  <c r="G42" i="12"/>
  <c r="F50" i="12"/>
  <c r="F46" i="12"/>
  <c r="F42" i="12"/>
  <c r="E50" i="12"/>
  <c r="E46" i="12"/>
  <c r="E42" i="12"/>
  <c r="D50" i="12"/>
  <c r="D46" i="12"/>
  <c r="D42" i="12"/>
  <c r="C50" i="12"/>
  <c r="C46" i="12"/>
  <c r="C42" i="12"/>
  <c r="T36" i="12"/>
  <c r="T35" i="12"/>
  <c r="T34" i="12"/>
  <c r="T9" i="12" s="1"/>
  <c r="T19" i="12"/>
  <c r="T17" i="12"/>
  <c r="T16" i="12"/>
  <c r="T15" i="12"/>
  <c r="T11" i="12"/>
  <c r="T12" i="12" s="1"/>
  <c r="S36" i="12"/>
  <c r="S35" i="12"/>
  <c r="S34" i="12"/>
  <c r="S9" i="12"/>
  <c r="S19" i="12"/>
  <c r="S17" i="12" s="1"/>
  <c r="S16" i="12"/>
  <c r="S15" i="12"/>
  <c r="S11" i="12"/>
  <c r="S12" i="12" s="1"/>
  <c r="R36" i="12"/>
  <c r="R35" i="12"/>
  <c r="R34" i="12"/>
  <c r="R9" i="12" s="1"/>
  <c r="R19" i="12"/>
  <c r="R17" i="12"/>
  <c r="R16" i="12"/>
  <c r="R15" i="12"/>
  <c r="R11" i="12"/>
  <c r="R12" i="12" s="1"/>
  <c r="Q36" i="12"/>
  <c r="Q35" i="12"/>
  <c r="Q34" i="12"/>
  <c r="Q9" i="12"/>
  <c r="Q19" i="12"/>
  <c r="Q17" i="12"/>
  <c r="Q16" i="12"/>
  <c r="Q15" i="12"/>
  <c r="Q11" i="12"/>
  <c r="Q12" i="12" s="1"/>
  <c r="P36" i="12"/>
  <c r="P35" i="12"/>
  <c r="P34" i="12"/>
  <c r="P9" i="12"/>
  <c r="P19" i="12"/>
  <c r="P17" i="12"/>
  <c r="P16" i="12"/>
  <c r="P15" i="12"/>
  <c r="P11" i="12"/>
  <c r="P12" i="12" s="1"/>
  <c r="G36" i="12"/>
  <c r="G35" i="12"/>
  <c r="G34" i="12"/>
  <c r="G19" i="12"/>
  <c r="G17" i="12"/>
  <c r="G16" i="12"/>
  <c r="G15" i="12"/>
  <c r="G11" i="12"/>
  <c r="G12" i="12" s="1"/>
  <c r="G9" i="12"/>
  <c r="F36" i="12"/>
  <c r="F35" i="12"/>
  <c r="F34" i="12"/>
  <c r="F19" i="12"/>
  <c r="F17" i="12"/>
  <c r="F16" i="12"/>
  <c r="F15" i="12"/>
  <c r="F11" i="12"/>
  <c r="F12" i="12" s="1"/>
  <c r="F9" i="12"/>
  <c r="E36" i="12"/>
  <c r="E35" i="12"/>
  <c r="E34" i="12"/>
  <c r="D36" i="12"/>
  <c r="D35" i="12"/>
  <c r="D34" i="12"/>
  <c r="C36" i="12"/>
  <c r="C35" i="12"/>
  <c r="C34" i="12"/>
  <c r="E19" i="12"/>
  <c r="E17" i="12"/>
  <c r="E16" i="12"/>
  <c r="E15" i="12"/>
  <c r="E11" i="12"/>
  <c r="E12" i="12" s="1"/>
  <c r="E9" i="12"/>
  <c r="D19" i="12"/>
  <c r="D17" i="12" s="1"/>
  <c r="D16" i="12"/>
  <c r="D15" i="12"/>
  <c r="D11" i="12"/>
  <c r="D12" i="12" s="1"/>
  <c r="D9" i="12"/>
  <c r="C19" i="12"/>
  <c r="C17" i="12"/>
  <c r="C16" i="12"/>
  <c r="C15" i="12"/>
  <c r="C11" i="12"/>
  <c r="C12" i="12" s="1"/>
  <c r="C9" i="12"/>
  <c r="O50" i="12"/>
  <c r="N50" i="12"/>
  <c r="M50" i="12"/>
  <c r="L50" i="12"/>
  <c r="K50" i="12"/>
  <c r="J50" i="12"/>
  <c r="I50" i="12"/>
  <c r="H50" i="12"/>
  <c r="O46" i="12"/>
  <c r="N46" i="12"/>
  <c r="M46" i="12"/>
  <c r="L46" i="12"/>
  <c r="K46" i="12"/>
  <c r="J46" i="12"/>
  <c r="I46" i="12"/>
  <c r="H46" i="12"/>
  <c r="O42" i="12"/>
  <c r="N42" i="12"/>
  <c r="M42" i="12"/>
  <c r="L42" i="12"/>
  <c r="K42" i="12"/>
  <c r="J42" i="12"/>
  <c r="I42" i="12"/>
  <c r="H42" i="12"/>
  <c r="T40" i="12"/>
  <c r="S40" i="12"/>
  <c r="R40" i="12"/>
  <c r="Q40" i="12"/>
  <c r="P40" i="12"/>
  <c r="O40" i="12"/>
  <c r="O34" i="12" s="1"/>
  <c r="O36" i="12" s="1"/>
  <c r="N40" i="12"/>
  <c r="N34" i="12" s="1"/>
  <c r="N36" i="12" s="1"/>
  <c r="M40" i="12"/>
  <c r="L40" i="12"/>
  <c r="K40" i="12"/>
  <c r="J40" i="12"/>
  <c r="I40" i="12"/>
  <c r="H40" i="12"/>
  <c r="H34" i="12" s="1"/>
  <c r="H36" i="12" s="1"/>
  <c r="G40" i="12"/>
  <c r="F40" i="12"/>
  <c r="E40" i="12"/>
  <c r="D40" i="12"/>
  <c r="C40" i="12"/>
  <c r="O35" i="12"/>
  <c r="N35" i="12"/>
  <c r="M35" i="12"/>
  <c r="L35" i="12"/>
  <c r="K35" i="12"/>
  <c r="J35" i="12"/>
  <c r="I35" i="12"/>
  <c r="I36" i="12" s="1"/>
  <c r="H35" i="12"/>
  <c r="M34" i="12"/>
  <c r="M36" i="12" s="1"/>
  <c r="L34" i="12"/>
  <c r="L36" i="12" s="1"/>
  <c r="K34" i="12"/>
  <c r="K36" i="12" s="1"/>
  <c r="J34" i="12"/>
  <c r="J36" i="12" s="1"/>
  <c r="I34" i="12"/>
  <c r="T32" i="12"/>
  <c r="S32" i="12"/>
  <c r="R32" i="12"/>
  <c r="Q32" i="12"/>
  <c r="P32" i="12"/>
  <c r="O32" i="12"/>
  <c r="N32" i="12"/>
  <c r="M32" i="12"/>
  <c r="L32" i="12"/>
  <c r="K32" i="12"/>
  <c r="J32" i="12"/>
  <c r="I32" i="12"/>
  <c r="H32" i="12"/>
  <c r="G32" i="12"/>
  <c r="F32" i="12"/>
  <c r="E32" i="12"/>
  <c r="D32" i="12"/>
  <c r="C32" i="12"/>
  <c r="T31" i="12"/>
  <c r="S31" i="12"/>
  <c r="R31" i="12"/>
  <c r="Q31" i="12"/>
  <c r="P31" i="12"/>
  <c r="O31" i="12"/>
  <c r="N31" i="12"/>
  <c r="M31" i="12"/>
  <c r="L31" i="12"/>
  <c r="K31" i="12"/>
  <c r="J31" i="12"/>
  <c r="I31" i="12"/>
  <c r="H31" i="12"/>
  <c r="G31" i="12"/>
  <c r="F31" i="12"/>
  <c r="E31" i="12"/>
  <c r="D31" i="12"/>
  <c r="C31" i="12"/>
  <c r="T30" i="12"/>
  <c r="S30" i="12"/>
  <c r="R30" i="12"/>
  <c r="Q30" i="12"/>
  <c r="P30" i="12"/>
  <c r="O30" i="12"/>
  <c r="N30" i="12"/>
  <c r="M30" i="12"/>
  <c r="L30" i="12"/>
  <c r="K30" i="12"/>
  <c r="J30" i="12"/>
  <c r="I30" i="12"/>
  <c r="H30" i="12"/>
  <c r="G30" i="12"/>
  <c r="F30" i="12"/>
  <c r="E30" i="12"/>
  <c r="D30" i="12"/>
  <c r="C30" i="12"/>
  <c r="T29" i="12"/>
  <c r="S29" i="12"/>
  <c r="R29" i="12"/>
  <c r="Q29" i="12"/>
  <c r="P29" i="12"/>
  <c r="O29" i="12"/>
  <c r="N29" i="12"/>
  <c r="M29" i="12"/>
  <c r="L29" i="12"/>
  <c r="K29" i="12"/>
  <c r="J29" i="12"/>
  <c r="I29" i="12"/>
  <c r="H29" i="12"/>
  <c r="G29" i="12"/>
  <c r="F29" i="12"/>
  <c r="E29" i="12"/>
  <c r="D29" i="12"/>
  <c r="C29" i="12"/>
  <c r="T27" i="12"/>
  <c r="S27" i="12"/>
  <c r="R27" i="12"/>
  <c r="Q27" i="12"/>
  <c r="P27" i="12"/>
  <c r="O27" i="12"/>
  <c r="N27" i="12"/>
  <c r="M27" i="12"/>
  <c r="L27" i="12"/>
  <c r="K27" i="12"/>
  <c r="J27" i="12"/>
  <c r="I27" i="12"/>
  <c r="H27" i="12"/>
  <c r="G27" i="12"/>
  <c r="F27" i="12"/>
  <c r="E27" i="12"/>
  <c r="D27" i="12"/>
  <c r="C27" i="12"/>
  <c r="T25" i="12"/>
  <c r="S25" i="12"/>
  <c r="R25" i="12"/>
  <c r="Q25" i="12"/>
  <c r="P25" i="12"/>
  <c r="O25" i="12"/>
  <c r="N25" i="12"/>
  <c r="M25" i="12"/>
  <c r="L25" i="12"/>
  <c r="K25" i="12"/>
  <c r="J25" i="12"/>
  <c r="I25" i="12"/>
  <c r="H25" i="12"/>
  <c r="G25" i="12"/>
  <c r="F25" i="12"/>
  <c r="E25" i="12"/>
  <c r="D25" i="12"/>
  <c r="C25" i="12"/>
  <c r="T23" i="12"/>
  <c r="S23" i="12"/>
  <c r="R23" i="12"/>
  <c r="Q23" i="12"/>
  <c r="P23" i="12"/>
  <c r="O23" i="12"/>
  <c r="N23" i="12"/>
  <c r="M23" i="12"/>
  <c r="L23" i="12"/>
  <c r="K23" i="12"/>
  <c r="J23" i="12"/>
  <c r="I23" i="12"/>
  <c r="H23" i="12"/>
  <c r="G23" i="12"/>
  <c r="F23" i="12"/>
  <c r="E23" i="12"/>
  <c r="D23" i="12"/>
  <c r="C23" i="12"/>
  <c r="O19" i="12"/>
  <c r="N19" i="12"/>
  <c r="M19" i="12"/>
  <c r="L19" i="12"/>
  <c r="K19" i="12"/>
  <c r="J19" i="12"/>
  <c r="I19" i="12"/>
  <c r="H19" i="12"/>
  <c r="O17" i="12"/>
  <c r="N17" i="12"/>
  <c r="M17" i="12"/>
  <c r="L17" i="12"/>
  <c r="K17" i="12"/>
  <c r="J17" i="12"/>
  <c r="I17" i="12"/>
  <c r="H17" i="12"/>
  <c r="O16" i="12"/>
  <c r="N16" i="12"/>
  <c r="M16" i="12"/>
  <c r="L16" i="12"/>
  <c r="K16" i="12"/>
  <c r="J16" i="12"/>
  <c r="I16" i="12"/>
  <c r="H16" i="12"/>
  <c r="O15" i="12"/>
  <c r="N15" i="12"/>
  <c r="M15" i="12"/>
  <c r="L15" i="12"/>
  <c r="K15" i="12"/>
  <c r="J15" i="12"/>
  <c r="I15" i="12"/>
  <c r="H15" i="12"/>
  <c r="O11" i="12"/>
  <c r="O12" i="12" s="1"/>
  <c r="N11" i="12"/>
  <c r="N12" i="12" s="1"/>
  <c r="M11" i="12"/>
  <c r="M12" i="12" s="1"/>
  <c r="L11" i="12"/>
  <c r="L12" i="12" s="1"/>
  <c r="K11" i="12"/>
  <c r="K12" i="12" s="1"/>
  <c r="J11" i="12"/>
  <c r="J12" i="12" s="1"/>
  <c r="I11" i="12"/>
  <c r="I12" i="12" s="1"/>
  <c r="H11" i="12"/>
  <c r="H12" i="12" s="1"/>
  <c r="T3" i="12"/>
  <c r="S3" i="12"/>
  <c r="R3" i="12"/>
  <c r="Q3" i="12"/>
  <c r="P3" i="12"/>
  <c r="O3" i="12"/>
  <c r="N3" i="12"/>
  <c r="M3" i="12"/>
  <c r="L3" i="12"/>
  <c r="K3" i="12"/>
  <c r="J3" i="12"/>
  <c r="I3" i="12"/>
  <c r="H3" i="12"/>
  <c r="G3" i="12"/>
  <c r="F3" i="12"/>
  <c r="E3" i="12"/>
  <c r="D3" i="12"/>
  <c r="C3" i="12"/>
  <c r="AA49" i="11"/>
  <c r="AA45" i="11"/>
  <c r="AA41" i="11"/>
  <c r="AA37" i="11"/>
  <c r="AA33" i="11"/>
  <c r="AA29" i="11"/>
  <c r="AA27" i="11"/>
  <c r="AA20" i="11" s="1"/>
  <c r="AA21" i="11"/>
  <c r="AA12" i="11"/>
  <c r="AA9" i="11" s="1"/>
  <c r="Z49" i="11"/>
  <c r="Z51" i="11" s="1"/>
  <c r="Z45" i="11"/>
  <c r="Z47" i="11" s="1"/>
  <c r="Z41" i="11"/>
  <c r="Z43" i="11" s="1"/>
  <c r="Z37" i="11"/>
  <c r="Z39" i="11" s="1"/>
  <c r="Z33" i="11"/>
  <c r="Z35" i="11" s="1"/>
  <c r="Z31" i="11"/>
  <c r="Z29" i="11"/>
  <c r="Z27" i="11"/>
  <c r="Z21" i="11"/>
  <c r="Z20" i="11"/>
  <c r="Z22" i="11" s="1"/>
  <c r="Z7" i="11" s="1"/>
  <c r="Z12" i="11"/>
  <c r="Z9" i="11" s="1"/>
  <c r="Y49" i="11"/>
  <c r="Y45" i="11"/>
  <c r="Y41" i="11"/>
  <c r="Y37" i="11"/>
  <c r="Y33" i="11"/>
  <c r="Y29" i="11"/>
  <c r="Y27" i="11"/>
  <c r="Y21" i="11"/>
  <c r="Y20" i="11"/>
  <c r="Y51" i="11" s="1"/>
  <c r="Y12" i="11"/>
  <c r="Y9" i="11" s="1"/>
  <c r="X49" i="11"/>
  <c r="X51" i="11" s="1"/>
  <c r="X47" i="11"/>
  <c r="X45" i="11"/>
  <c r="X41" i="11"/>
  <c r="X37" i="11"/>
  <c r="X33" i="11"/>
  <c r="X29" i="11"/>
  <c r="X27" i="11"/>
  <c r="X21" i="11"/>
  <c r="X20" i="11"/>
  <c r="X43" i="11" s="1"/>
  <c r="X9" i="11"/>
  <c r="X8" i="11"/>
  <c r="X12" i="11"/>
  <c r="W49" i="11"/>
  <c r="W45" i="11"/>
  <c r="W41" i="11"/>
  <c r="W37" i="11"/>
  <c r="W33" i="11"/>
  <c r="W29" i="11"/>
  <c r="W27" i="11"/>
  <c r="W21" i="11"/>
  <c r="W22" i="11" s="1"/>
  <c r="W7" i="11" s="1"/>
  <c r="W20" i="11"/>
  <c r="W51" i="11" s="1"/>
  <c r="W12" i="11"/>
  <c r="W9" i="11" s="1"/>
  <c r="V49" i="11"/>
  <c r="V45" i="11"/>
  <c r="V41" i="11"/>
  <c r="V37" i="11"/>
  <c r="V33" i="11"/>
  <c r="V29" i="11"/>
  <c r="V27" i="11"/>
  <c r="V21" i="11"/>
  <c r="V20" i="11"/>
  <c r="V51" i="11" s="1"/>
  <c r="V12" i="11"/>
  <c r="V9" i="11" s="1"/>
  <c r="U49" i="11"/>
  <c r="U51" i="11" s="1"/>
  <c r="U45" i="11"/>
  <c r="U47" i="11" s="1"/>
  <c r="U41" i="11"/>
  <c r="U43" i="11" s="1"/>
  <c r="U39" i="11"/>
  <c r="U37" i="11"/>
  <c r="U33" i="11"/>
  <c r="U29" i="11"/>
  <c r="U27" i="11"/>
  <c r="U21" i="11"/>
  <c r="U20" i="11"/>
  <c r="U35" i="11" s="1"/>
  <c r="U12" i="11"/>
  <c r="U9" i="11" s="1"/>
  <c r="T49" i="11"/>
  <c r="T45" i="11"/>
  <c r="T41" i="11"/>
  <c r="T37" i="11"/>
  <c r="T33" i="11"/>
  <c r="T29" i="11"/>
  <c r="T27" i="11"/>
  <c r="T21" i="11"/>
  <c r="T20" i="11"/>
  <c r="T51" i="11" s="1"/>
  <c r="T8" i="11"/>
  <c r="T12" i="11"/>
  <c r="T9" i="11" s="1"/>
  <c r="S49" i="11"/>
  <c r="S45" i="11"/>
  <c r="S41" i="11"/>
  <c r="S37" i="11"/>
  <c r="S33" i="11"/>
  <c r="S29" i="11"/>
  <c r="S27" i="11"/>
  <c r="S20" i="11" s="1"/>
  <c r="S21" i="11"/>
  <c r="S12" i="11"/>
  <c r="S9" i="11" s="1"/>
  <c r="R49" i="11"/>
  <c r="R51" i="11" s="1"/>
  <c r="R45" i="11"/>
  <c r="R47" i="11" s="1"/>
  <c r="R41" i="11"/>
  <c r="R43" i="11" s="1"/>
  <c r="R37" i="11"/>
  <c r="R39" i="11" s="1"/>
  <c r="R33" i="11"/>
  <c r="R35" i="11" s="1"/>
  <c r="R31" i="11"/>
  <c r="R29" i="11"/>
  <c r="R27" i="11"/>
  <c r="R21" i="11"/>
  <c r="R20" i="11"/>
  <c r="R22" i="11" s="1"/>
  <c r="R7" i="11" s="1"/>
  <c r="R12" i="11"/>
  <c r="R9" i="11" s="1"/>
  <c r="Q49" i="11"/>
  <c r="Q45" i="11"/>
  <c r="Q41" i="11"/>
  <c r="Q37" i="11"/>
  <c r="Q33" i="11"/>
  <c r="Q29" i="11"/>
  <c r="Q27" i="11"/>
  <c r="Q21" i="11"/>
  <c r="Q20" i="11"/>
  <c r="Q51" i="11" s="1"/>
  <c r="Q12" i="11"/>
  <c r="Q9" i="11" s="1"/>
  <c r="P49" i="11"/>
  <c r="P51" i="11" s="1"/>
  <c r="P47" i="11"/>
  <c r="P45" i="11"/>
  <c r="P41" i="11"/>
  <c r="P37" i="11"/>
  <c r="P33" i="11"/>
  <c r="P29" i="11"/>
  <c r="P27" i="11"/>
  <c r="P21" i="11"/>
  <c r="P20" i="11"/>
  <c r="P43" i="11" s="1"/>
  <c r="P9" i="11"/>
  <c r="P8" i="11"/>
  <c r="P12" i="11"/>
  <c r="O49" i="11"/>
  <c r="O45" i="11"/>
  <c r="O41" i="11"/>
  <c r="O37" i="11"/>
  <c r="O33" i="11"/>
  <c r="O29" i="11"/>
  <c r="O27" i="11"/>
  <c r="O21" i="11"/>
  <c r="O22" i="11" s="1"/>
  <c r="O7" i="11" s="1"/>
  <c r="O20" i="11"/>
  <c r="O51" i="11" s="1"/>
  <c r="O12" i="11"/>
  <c r="O9" i="11" s="1"/>
  <c r="N49" i="11"/>
  <c r="N45" i="11"/>
  <c r="N41" i="11"/>
  <c r="N37" i="11"/>
  <c r="N33" i="11"/>
  <c r="N29" i="11"/>
  <c r="N27" i="11"/>
  <c r="N21" i="11"/>
  <c r="N20" i="11"/>
  <c r="N51" i="11" s="1"/>
  <c r="N12" i="11"/>
  <c r="N9" i="11" s="1"/>
  <c r="M49" i="11"/>
  <c r="M51" i="11" s="1"/>
  <c r="M45" i="11"/>
  <c r="M47" i="11" s="1"/>
  <c r="M41" i="11"/>
  <c r="M43" i="11" s="1"/>
  <c r="M39" i="11"/>
  <c r="M37" i="11"/>
  <c r="M33" i="11"/>
  <c r="M29" i="11"/>
  <c r="M27" i="11"/>
  <c r="M21" i="11"/>
  <c r="M20" i="11"/>
  <c r="M35" i="11" s="1"/>
  <c r="M12" i="11"/>
  <c r="M9" i="11" s="1"/>
  <c r="L49" i="11"/>
  <c r="L45" i="11"/>
  <c r="L41" i="11"/>
  <c r="L37" i="11"/>
  <c r="L33" i="11"/>
  <c r="L29" i="11"/>
  <c r="L27" i="11"/>
  <c r="L21" i="11"/>
  <c r="L20" i="11"/>
  <c r="L51" i="11" s="1"/>
  <c r="L8" i="11"/>
  <c r="L12" i="11"/>
  <c r="L9" i="11" s="1"/>
  <c r="K49" i="11"/>
  <c r="K45" i="11"/>
  <c r="K41" i="11"/>
  <c r="K37" i="11"/>
  <c r="K33" i="11"/>
  <c r="K29" i="11"/>
  <c r="K27" i="11"/>
  <c r="K20" i="11" s="1"/>
  <c r="K21" i="11"/>
  <c r="K12" i="11"/>
  <c r="K9" i="11" s="1"/>
  <c r="J49" i="11"/>
  <c r="J51" i="11" s="1"/>
  <c r="J45" i="11"/>
  <c r="J47" i="11" s="1"/>
  <c r="J41" i="11"/>
  <c r="J43" i="11" s="1"/>
  <c r="J37" i="11"/>
  <c r="J39" i="11" s="1"/>
  <c r="J33" i="11"/>
  <c r="J35" i="11" s="1"/>
  <c r="J31" i="11"/>
  <c r="J29" i="11"/>
  <c r="J27" i="11"/>
  <c r="J21" i="11"/>
  <c r="J20" i="11"/>
  <c r="J22" i="11" s="1"/>
  <c r="J7" i="11" s="1"/>
  <c r="J12" i="11"/>
  <c r="J9" i="11" s="1"/>
  <c r="I49" i="11"/>
  <c r="I45" i="11"/>
  <c r="I41" i="11"/>
  <c r="I37" i="11"/>
  <c r="I33" i="11"/>
  <c r="I29" i="11"/>
  <c r="I27" i="11"/>
  <c r="I21" i="11"/>
  <c r="I20" i="11"/>
  <c r="I51" i="11" s="1"/>
  <c r="I12" i="11"/>
  <c r="I8" i="11" s="1"/>
  <c r="H49" i="11"/>
  <c r="H51" i="11" s="1"/>
  <c r="H47" i="11"/>
  <c r="H45" i="11"/>
  <c r="H41" i="11"/>
  <c r="H37" i="11"/>
  <c r="H33" i="11"/>
  <c r="H29" i="11"/>
  <c r="H27" i="11"/>
  <c r="H21" i="11"/>
  <c r="H20" i="11"/>
  <c r="H43" i="11" s="1"/>
  <c r="H9" i="11"/>
  <c r="H8" i="11"/>
  <c r="H12" i="11"/>
  <c r="G49" i="11"/>
  <c r="G45" i="11"/>
  <c r="G41" i="11"/>
  <c r="G37" i="11"/>
  <c r="G33" i="11"/>
  <c r="G29" i="11"/>
  <c r="G27" i="11"/>
  <c r="G21" i="11"/>
  <c r="G22" i="11" s="1"/>
  <c r="G7" i="11" s="1"/>
  <c r="G20" i="11"/>
  <c r="G51" i="11" s="1"/>
  <c r="G12" i="11"/>
  <c r="G9" i="11" s="1"/>
  <c r="F49" i="11"/>
  <c r="F45" i="11"/>
  <c r="F41" i="11"/>
  <c r="F37" i="11"/>
  <c r="F33" i="11"/>
  <c r="F29" i="11"/>
  <c r="F27" i="11"/>
  <c r="F21" i="11"/>
  <c r="F20" i="11"/>
  <c r="F51" i="11" s="1"/>
  <c r="F12" i="11"/>
  <c r="F9" i="11" s="1"/>
  <c r="E49" i="11"/>
  <c r="E51" i="11" s="1"/>
  <c r="E45" i="11"/>
  <c r="E47" i="11" s="1"/>
  <c r="E41" i="11"/>
  <c r="E43" i="11" s="1"/>
  <c r="E39" i="11"/>
  <c r="E37" i="11"/>
  <c r="E33" i="11"/>
  <c r="E29" i="11"/>
  <c r="E27" i="11"/>
  <c r="E21" i="11"/>
  <c r="E20" i="11"/>
  <c r="E35" i="11" s="1"/>
  <c r="E12" i="11"/>
  <c r="E8" i="11" s="1"/>
  <c r="D49" i="11"/>
  <c r="D45" i="11"/>
  <c r="D41" i="11"/>
  <c r="D37" i="11"/>
  <c r="D33" i="11"/>
  <c r="D29" i="11"/>
  <c r="D27" i="11"/>
  <c r="D21" i="11"/>
  <c r="D20" i="11"/>
  <c r="D51" i="11" s="1"/>
  <c r="D9" i="11"/>
  <c r="D8" i="11"/>
  <c r="D12" i="11"/>
  <c r="C49" i="11"/>
  <c r="C45" i="11"/>
  <c r="C41" i="11"/>
  <c r="C37" i="11"/>
  <c r="C33" i="11"/>
  <c r="C29" i="11"/>
  <c r="C27" i="11"/>
  <c r="C20" i="11" s="1"/>
  <c r="C21" i="11"/>
  <c r="C12" i="11"/>
  <c r="C9" i="11" s="1"/>
  <c r="AA45" i="10"/>
  <c r="AA41" i="10"/>
  <c r="AA37" i="10"/>
  <c r="AA33" i="10"/>
  <c r="AA29" i="10"/>
  <c r="AA27" i="10"/>
  <c r="AA19" i="10" s="1"/>
  <c r="AA20" i="10"/>
  <c r="AA12" i="10"/>
  <c r="AA9" i="10" s="1"/>
  <c r="Z45" i="10"/>
  <c r="Z41" i="10"/>
  <c r="Z37" i="10"/>
  <c r="Z33" i="10"/>
  <c r="Z29" i="10"/>
  <c r="Z27" i="10"/>
  <c r="Z19" i="10" s="1"/>
  <c r="Z20" i="10"/>
  <c r="Z12" i="10"/>
  <c r="Z9" i="10" s="1"/>
  <c r="Y45" i="10"/>
  <c r="Y41" i="10"/>
  <c r="Y37" i="10"/>
  <c r="Y33" i="10"/>
  <c r="Y29" i="10"/>
  <c r="Y27" i="10"/>
  <c r="Y20" i="10"/>
  <c r="Y19" i="10"/>
  <c r="Y47" i="10" s="1"/>
  <c r="Y12" i="10"/>
  <c r="Y9" i="10" s="1"/>
  <c r="X45" i="10"/>
  <c r="X47" i="10" s="1"/>
  <c r="X41" i="10"/>
  <c r="X43" i="10" s="1"/>
  <c r="X37" i="10"/>
  <c r="X39" i="10" s="1"/>
  <c r="X35" i="10"/>
  <c r="X33" i="10"/>
  <c r="X29" i="10"/>
  <c r="X27" i="10"/>
  <c r="X20" i="10"/>
  <c r="X19" i="10"/>
  <c r="X31" i="10" s="1"/>
  <c r="X12" i="10"/>
  <c r="X9" i="10" s="1"/>
  <c r="W45" i="10"/>
  <c r="W41" i="10"/>
  <c r="W37" i="10"/>
  <c r="W33" i="10"/>
  <c r="W29" i="10"/>
  <c r="W27" i="10"/>
  <c r="W20" i="10"/>
  <c r="W19" i="10"/>
  <c r="W47" i="10" s="1"/>
  <c r="W12" i="10"/>
  <c r="W9" i="10" s="1"/>
  <c r="V47" i="10"/>
  <c r="V45" i="10"/>
  <c r="V41" i="10"/>
  <c r="V37" i="10"/>
  <c r="V33" i="10"/>
  <c r="V29" i="10"/>
  <c r="V27" i="10"/>
  <c r="V20" i="10"/>
  <c r="V19" i="10"/>
  <c r="V43" i="10" s="1"/>
  <c r="V12" i="10"/>
  <c r="V9" i="10" s="1"/>
  <c r="U45" i="10"/>
  <c r="U41" i="10"/>
  <c r="U37" i="10"/>
  <c r="U33" i="10"/>
  <c r="U29" i="10"/>
  <c r="U27" i="10"/>
  <c r="U19" i="10" s="1"/>
  <c r="U20" i="10"/>
  <c r="U12" i="10"/>
  <c r="U9" i="10" s="1"/>
  <c r="T45" i="10"/>
  <c r="T41" i="10"/>
  <c r="T37" i="10"/>
  <c r="T33" i="10"/>
  <c r="T31" i="10"/>
  <c r="T29" i="10"/>
  <c r="T27" i="10"/>
  <c r="T20" i="10"/>
  <c r="T19" i="10"/>
  <c r="T35" i="10" s="1"/>
  <c r="T12" i="10"/>
  <c r="T9" i="10" s="1"/>
  <c r="S45" i="10"/>
  <c r="S47" i="10" s="1"/>
  <c r="S41" i="10"/>
  <c r="S43" i="10" s="1"/>
  <c r="S37" i="10"/>
  <c r="S39" i="10" s="1"/>
  <c r="S35" i="10"/>
  <c r="S33" i="10"/>
  <c r="S29" i="10"/>
  <c r="S27" i="10"/>
  <c r="S20" i="10"/>
  <c r="S19" i="10"/>
  <c r="S31" i="10" s="1"/>
  <c r="S12" i="10"/>
  <c r="S9" i="10" s="1"/>
  <c r="R45" i="10"/>
  <c r="R41" i="10"/>
  <c r="R37" i="10"/>
  <c r="R33" i="10"/>
  <c r="R29" i="10"/>
  <c r="R27" i="10"/>
  <c r="R20" i="10"/>
  <c r="R19" i="10"/>
  <c r="R47" i="10" s="1"/>
  <c r="R12" i="10"/>
  <c r="R9" i="10" s="1"/>
  <c r="Q47" i="10"/>
  <c r="Q45" i="10"/>
  <c r="Q41" i="10"/>
  <c r="Q37" i="10"/>
  <c r="Q33" i="10"/>
  <c r="Q29" i="10"/>
  <c r="Q27" i="10"/>
  <c r="Q20" i="10"/>
  <c r="Q19" i="10"/>
  <c r="Q43" i="10" s="1"/>
  <c r="Q9" i="10"/>
  <c r="Q12" i="10"/>
  <c r="Q8" i="10" s="1"/>
  <c r="P45" i="10"/>
  <c r="P41" i="10"/>
  <c r="P37" i="10"/>
  <c r="P33" i="10"/>
  <c r="P29" i="10"/>
  <c r="P27" i="10"/>
  <c r="P20" i="10"/>
  <c r="P21" i="10" s="1"/>
  <c r="P7" i="10" s="1"/>
  <c r="P19" i="10"/>
  <c r="P47" i="10" s="1"/>
  <c r="P12" i="10"/>
  <c r="P9" i="10" s="1"/>
  <c r="O45" i="10"/>
  <c r="O41" i="10"/>
  <c r="O37" i="10"/>
  <c r="O33" i="10"/>
  <c r="O29" i="10"/>
  <c r="O31" i="10" s="1"/>
  <c r="O27" i="10"/>
  <c r="O20" i="10"/>
  <c r="O19" i="10"/>
  <c r="O35" i="10" s="1"/>
  <c r="O12" i="10"/>
  <c r="O9" i="10" s="1"/>
  <c r="N45" i="10"/>
  <c r="N47" i="10" s="1"/>
  <c r="N41" i="10"/>
  <c r="N43" i="10" s="1"/>
  <c r="N37" i="10"/>
  <c r="N39" i="10" s="1"/>
  <c r="N33" i="10"/>
  <c r="N35" i="10" s="1"/>
  <c r="N31" i="10"/>
  <c r="N29" i="10"/>
  <c r="N27" i="10"/>
  <c r="N20" i="10"/>
  <c r="N19" i="10"/>
  <c r="N23" i="10" s="1"/>
  <c r="N8" i="10"/>
  <c r="N12" i="10"/>
  <c r="N9" i="10" s="1"/>
  <c r="M45" i="10"/>
  <c r="M41" i="10"/>
  <c r="M37" i="10"/>
  <c r="M33" i="10"/>
  <c r="M29" i="10"/>
  <c r="M27" i="10"/>
  <c r="M20" i="10"/>
  <c r="M19" i="10"/>
  <c r="M43" i="10" s="1"/>
  <c r="M12" i="10"/>
  <c r="M8" i="10" s="1"/>
  <c r="L45" i="10"/>
  <c r="L47" i="10" s="1"/>
  <c r="L43" i="10"/>
  <c r="L41" i="10"/>
  <c r="L37" i="10"/>
  <c r="L33" i="10"/>
  <c r="L29" i="10"/>
  <c r="L27" i="10"/>
  <c r="L20" i="10"/>
  <c r="L19" i="10"/>
  <c r="L39" i="10" s="1"/>
  <c r="L9" i="10"/>
  <c r="L8" i="10"/>
  <c r="L12" i="10"/>
  <c r="K45" i="10"/>
  <c r="K41" i="10"/>
  <c r="K37" i="10"/>
  <c r="K33" i="10"/>
  <c r="K29" i="10"/>
  <c r="K27" i="10"/>
  <c r="K20" i="10"/>
  <c r="K19" i="10"/>
  <c r="K35" i="10" s="1"/>
  <c r="K9" i="10"/>
  <c r="K8" i="10"/>
  <c r="K12" i="10"/>
  <c r="J45" i="10"/>
  <c r="J41" i="10"/>
  <c r="J37" i="10"/>
  <c r="J33" i="10"/>
  <c r="J29" i="10"/>
  <c r="J27" i="10"/>
  <c r="J19" i="10" s="1"/>
  <c r="J20" i="10"/>
  <c r="J12" i="10"/>
  <c r="J8" i="10" s="1"/>
  <c r="I45" i="10"/>
  <c r="I47" i="10" s="1"/>
  <c r="I43" i="10"/>
  <c r="I41" i="10"/>
  <c r="I37" i="10"/>
  <c r="I39" i="10" s="1"/>
  <c r="I33" i="10"/>
  <c r="I35" i="10" s="1"/>
  <c r="I31" i="10"/>
  <c r="I29" i="10"/>
  <c r="I27" i="10"/>
  <c r="I20" i="10"/>
  <c r="I19" i="10"/>
  <c r="I23" i="10" s="1"/>
  <c r="I8" i="10"/>
  <c r="I12" i="10"/>
  <c r="I9" i="10" s="1"/>
  <c r="H45" i="10"/>
  <c r="H41" i="10"/>
  <c r="H37" i="10"/>
  <c r="H33" i="10"/>
  <c r="H29" i="10"/>
  <c r="H27" i="10"/>
  <c r="H20" i="10"/>
  <c r="H19" i="10"/>
  <c r="H43" i="10" s="1"/>
  <c r="H12" i="10"/>
  <c r="H9" i="10" s="1"/>
  <c r="G45" i="10"/>
  <c r="G47" i="10" s="1"/>
  <c r="G43" i="10"/>
  <c r="G41" i="10"/>
  <c r="G37" i="10"/>
  <c r="G33" i="10"/>
  <c r="G29" i="10"/>
  <c r="G27" i="10"/>
  <c r="G20" i="10"/>
  <c r="G19" i="10"/>
  <c r="G39" i="10" s="1"/>
  <c r="G9" i="10"/>
  <c r="G8" i="10"/>
  <c r="G12" i="10"/>
  <c r="F45" i="10"/>
  <c r="F41" i="10"/>
  <c r="F37" i="10"/>
  <c r="F33" i="10"/>
  <c r="F29" i="10"/>
  <c r="F27" i="10"/>
  <c r="F20" i="10"/>
  <c r="F19" i="10"/>
  <c r="F21" i="10" s="1"/>
  <c r="F7" i="10" s="1"/>
  <c r="F9" i="10"/>
  <c r="F8" i="10"/>
  <c r="F12" i="10"/>
  <c r="E45" i="10"/>
  <c r="E41" i="10"/>
  <c r="E37" i="10"/>
  <c r="E33" i="10"/>
  <c r="E29" i="10"/>
  <c r="E27" i="10"/>
  <c r="E19" i="10" s="1"/>
  <c r="E20" i="10"/>
  <c r="E12" i="10"/>
  <c r="E9" i="10" s="1"/>
  <c r="D45" i="10"/>
  <c r="D41" i="10"/>
  <c r="D37" i="10"/>
  <c r="D33" i="10"/>
  <c r="D29" i="10"/>
  <c r="D27" i="10"/>
  <c r="D19" i="10" s="1"/>
  <c r="D20" i="10"/>
  <c r="D12" i="10"/>
  <c r="D9" i="10" s="1"/>
  <c r="C45" i="10"/>
  <c r="C41" i="10"/>
  <c r="C37" i="10"/>
  <c r="C33" i="10"/>
  <c r="C29" i="10"/>
  <c r="C27" i="10"/>
  <c r="C20" i="10"/>
  <c r="C19" i="10"/>
  <c r="C43" i="10" s="1"/>
  <c r="C12" i="10"/>
  <c r="C9" i="10" s="1"/>
  <c r="AA47" i="9"/>
  <c r="AA43" i="9"/>
  <c r="AA39" i="9"/>
  <c r="AA35" i="9"/>
  <c r="AA31" i="9"/>
  <c r="AA27" i="9"/>
  <c r="AA25" i="9"/>
  <c r="AA19" i="9"/>
  <c r="AA18" i="9"/>
  <c r="AA49" i="9" s="1"/>
  <c r="AA12" i="9"/>
  <c r="AA9" i="9"/>
  <c r="AA8" i="9"/>
  <c r="Z47" i="9"/>
  <c r="Z43" i="9"/>
  <c r="Z39" i="9"/>
  <c r="Z35" i="9"/>
  <c r="Z31" i="9"/>
  <c r="Z27" i="9"/>
  <c r="Z25" i="9"/>
  <c r="Z18" i="9" s="1"/>
  <c r="Z19" i="9"/>
  <c r="Z12" i="9"/>
  <c r="Z9" i="9"/>
  <c r="Z8" i="9"/>
  <c r="Y47" i="9"/>
  <c r="Y43" i="9"/>
  <c r="Y39" i="9"/>
  <c r="Y35" i="9"/>
  <c r="Y31" i="9"/>
  <c r="Y27" i="9"/>
  <c r="Y25" i="9"/>
  <c r="Y18" i="9" s="1"/>
  <c r="Y19" i="9"/>
  <c r="Y12" i="9"/>
  <c r="Y9" i="9" s="1"/>
  <c r="X47" i="9"/>
  <c r="X43" i="9"/>
  <c r="X39" i="9"/>
  <c r="X35" i="9"/>
  <c r="X31" i="9"/>
  <c r="X27" i="9"/>
  <c r="X25" i="9"/>
  <c r="X19" i="9"/>
  <c r="X18" i="9"/>
  <c r="X33" i="9" s="1"/>
  <c r="X12" i="9"/>
  <c r="X9" i="9"/>
  <c r="X8" i="9"/>
  <c r="W47" i="9"/>
  <c r="W43" i="9"/>
  <c r="W39" i="9"/>
  <c r="W35" i="9"/>
  <c r="W31" i="9"/>
  <c r="W27" i="9"/>
  <c r="W25" i="9"/>
  <c r="W18" i="9" s="1"/>
  <c r="W19" i="9"/>
  <c r="W12" i="9"/>
  <c r="W9" i="9" s="1"/>
  <c r="V47" i="9"/>
  <c r="V43" i="9"/>
  <c r="V39" i="9"/>
  <c r="V35" i="9"/>
  <c r="V31" i="9"/>
  <c r="V27" i="9"/>
  <c r="V25" i="9"/>
  <c r="V19" i="9"/>
  <c r="V18" i="9"/>
  <c r="V41" i="9" s="1"/>
  <c r="V12" i="9"/>
  <c r="V9" i="9" s="1"/>
  <c r="U49" i="9"/>
  <c r="U45" i="9"/>
  <c r="U41" i="9"/>
  <c r="U37" i="9"/>
  <c r="U33" i="9"/>
  <c r="U47" i="9"/>
  <c r="U43" i="9"/>
  <c r="U39" i="9"/>
  <c r="U35" i="9"/>
  <c r="U31" i="9"/>
  <c r="U27" i="9"/>
  <c r="U25" i="9"/>
  <c r="U19" i="9"/>
  <c r="U18" i="9"/>
  <c r="U29" i="9" s="1"/>
  <c r="U12" i="9"/>
  <c r="U9" i="9"/>
  <c r="U8" i="9"/>
  <c r="T47" i="9"/>
  <c r="T43" i="9"/>
  <c r="T39" i="9"/>
  <c r="T35" i="9"/>
  <c r="T31" i="9"/>
  <c r="T27" i="9"/>
  <c r="T25" i="9"/>
  <c r="T18" i="9" s="1"/>
  <c r="T19" i="9"/>
  <c r="T12" i="9"/>
  <c r="T9" i="9" s="1"/>
  <c r="S47" i="9"/>
  <c r="S43" i="9"/>
  <c r="S39" i="9"/>
  <c r="S35" i="9"/>
  <c r="S31" i="9"/>
  <c r="S27" i="9"/>
  <c r="S25" i="9"/>
  <c r="S19" i="9"/>
  <c r="S18" i="9"/>
  <c r="S49" i="9" s="1"/>
  <c r="S12" i="9"/>
  <c r="S9" i="9"/>
  <c r="S8" i="9"/>
  <c r="R47" i="9"/>
  <c r="R43" i="9"/>
  <c r="R39" i="9"/>
  <c r="R35" i="9"/>
  <c r="R31" i="9"/>
  <c r="R27" i="9"/>
  <c r="R25" i="9"/>
  <c r="R18" i="9" s="1"/>
  <c r="R19" i="9"/>
  <c r="R12" i="9"/>
  <c r="R9" i="9"/>
  <c r="R8" i="9"/>
  <c r="Q47" i="9"/>
  <c r="Q43" i="9"/>
  <c r="Q39" i="9"/>
  <c r="Q35" i="9"/>
  <c r="Q31" i="9"/>
  <c r="Q27" i="9"/>
  <c r="Q25" i="9"/>
  <c r="Q18" i="9" s="1"/>
  <c r="Q19" i="9"/>
  <c r="Q12" i="9"/>
  <c r="Q9" i="9" s="1"/>
  <c r="P47" i="9"/>
  <c r="P43" i="9"/>
  <c r="P39" i="9"/>
  <c r="P35" i="9"/>
  <c r="P31" i="9"/>
  <c r="P27" i="9"/>
  <c r="P25" i="9"/>
  <c r="P19" i="9"/>
  <c r="P18" i="9"/>
  <c r="P33" i="9" s="1"/>
  <c r="P12" i="9"/>
  <c r="P9" i="9"/>
  <c r="P8" i="9"/>
  <c r="O47" i="9"/>
  <c r="O43" i="9"/>
  <c r="O39" i="9"/>
  <c r="O35" i="9"/>
  <c r="O31" i="9"/>
  <c r="O27" i="9"/>
  <c r="O25" i="9"/>
  <c r="O18" i="9" s="1"/>
  <c r="O19" i="9"/>
  <c r="O12" i="9"/>
  <c r="O9" i="9" s="1"/>
  <c r="N47" i="9"/>
  <c r="N43" i="9"/>
  <c r="N39" i="9"/>
  <c r="N35" i="9"/>
  <c r="N31" i="9"/>
  <c r="N27" i="9"/>
  <c r="N25" i="9"/>
  <c r="N19" i="9"/>
  <c r="N18" i="9"/>
  <c r="N29" i="9" s="1"/>
  <c r="N12" i="9"/>
  <c r="N9" i="9" s="1"/>
  <c r="M49" i="9"/>
  <c r="M45" i="9"/>
  <c r="M41" i="9"/>
  <c r="M37" i="9"/>
  <c r="M33" i="9"/>
  <c r="M47" i="9"/>
  <c r="M43" i="9"/>
  <c r="M39" i="9"/>
  <c r="M35" i="9"/>
  <c r="M31" i="9"/>
  <c r="M27" i="9"/>
  <c r="M25" i="9"/>
  <c r="M19" i="9"/>
  <c r="M18" i="9"/>
  <c r="M20" i="9" s="1"/>
  <c r="M7" i="9" s="1"/>
  <c r="M12" i="9"/>
  <c r="M9" i="9"/>
  <c r="M8" i="9"/>
  <c r="L47" i="9"/>
  <c r="L43" i="9"/>
  <c r="L39" i="9"/>
  <c r="L35" i="9"/>
  <c r="L31" i="9"/>
  <c r="L27" i="9"/>
  <c r="L25" i="9"/>
  <c r="L18" i="9" s="1"/>
  <c r="L19" i="9"/>
  <c r="L12" i="9"/>
  <c r="L9" i="9" s="1"/>
  <c r="K47" i="9"/>
  <c r="K43" i="9"/>
  <c r="K39" i="9"/>
  <c r="K35" i="9"/>
  <c r="K31" i="9"/>
  <c r="K27" i="9"/>
  <c r="K25" i="9"/>
  <c r="K19" i="9"/>
  <c r="K18" i="9"/>
  <c r="K49" i="9" s="1"/>
  <c r="K12" i="9"/>
  <c r="K9" i="9"/>
  <c r="K8" i="9"/>
  <c r="J47" i="9"/>
  <c r="J43" i="9"/>
  <c r="J39" i="9"/>
  <c r="J35" i="9"/>
  <c r="J31" i="9"/>
  <c r="J27" i="9"/>
  <c r="J25" i="9"/>
  <c r="J18" i="9" s="1"/>
  <c r="J19" i="9"/>
  <c r="J12" i="9"/>
  <c r="J9" i="9"/>
  <c r="J8" i="9"/>
  <c r="I47" i="9"/>
  <c r="I43" i="9"/>
  <c r="I39" i="9"/>
  <c r="I35" i="9"/>
  <c r="I31" i="9"/>
  <c r="I27" i="9"/>
  <c r="I25" i="9"/>
  <c r="I18" i="9" s="1"/>
  <c r="I19" i="9"/>
  <c r="I12" i="9"/>
  <c r="I9" i="9" s="1"/>
  <c r="H47" i="9"/>
  <c r="H43" i="9"/>
  <c r="H39" i="9"/>
  <c r="H35" i="9"/>
  <c r="H31" i="9"/>
  <c r="H27" i="9"/>
  <c r="H25" i="9"/>
  <c r="H19" i="9"/>
  <c r="H18" i="9"/>
  <c r="H33" i="9" s="1"/>
  <c r="H12" i="9"/>
  <c r="H9" i="9"/>
  <c r="H8" i="9"/>
  <c r="G47" i="9"/>
  <c r="G43" i="9"/>
  <c r="G39" i="9"/>
  <c r="G35" i="9"/>
  <c r="G31" i="9"/>
  <c r="G27" i="9"/>
  <c r="G25" i="9"/>
  <c r="G18" i="9" s="1"/>
  <c r="G19" i="9"/>
  <c r="G12" i="9"/>
  <c r="G9" i="9" s="1"/>
  <c r="F47" i="9"/>
  <c r="F43" i="9"/>
  <c r="F39" i="9"/>
  <c r="F35" i="9"/>
  <c r="F31" i="9"/>
  <c r="F27" i="9"/>
  <c r="F25" i="9"/>
  <c r="F19" i="9"/>
  <c r="F18" i="9"/>
  <c r="F37" i="9" s="1"/>
  <c r="F12" i="9"/>
  <c r="F9" i="9" s="1"/>
  <c r="E49" i="9"/>
  <c r="E45" i="9"/>
  <c r="E41" i="9"/>
  <c r="E37" i="9"/>
  <c r="E33" i="9"/>
  <c r="E47" i="9"/>
  <c r="E43" i="9"/>
  <c r="E39" i="9"/>
  <c r="E35" i="9"/>
  <c r="E31" i="9"/>
  <c r="E27" i="9"/>
  <c r="E25" i="9"/>
  <c r="E19" i="9"/>
  <c r="E18" i="9"/>
  <c r="E20" i="9" s="1"/>
  <c r="E7" i="9" s="1"/>
  <c r="E12" i="9"/>
  <c r="E9" i="9"/>
  <c r="E8" i="9"/>
  <c r="D47" i="9"/>
  <c r="D43" i="9"/>
  <c r="D39" i="9"/>
  <c r="D35" i="9"/>
  <c r="D31" i="9"/>
  <c r="D27" i="9"/>
  <c r="D25" i="9"/>
  <c r="D18" i="9" s="1"/>
  <c r="D19" i="9"/>
  <c r="D12" i="9"/>
  <c r="D9" i="9" s="1"/>
  <c r="C47" i="9"/>
  <c r="C43" i="9"/>
  <c r="C39" i="9"/>
  <c r="C35" i="9"/>
  <c r="C31" i="9"/>
  <c r="C27" i="9"/>
  <c r="C25" i="9"/>
  <c r="C19" i="9"/>
  <c r="C18" i="9"/>
  <c r="C49" i="9" s="1"/>
  <c r="C12" i="9"/>
  <c r="C9" i="9"/>
  <c r="C8" i="9"/>
  <c r="AH89" i="2"/>
  <c r="AH85" i="2"/>
  <c r="AH81" i="2"/>
  <c r="AH77" i="2"/>
  <c r="AH73" i="2"/>
  <c r="AH69" i="2"/>
  <c r="AH65" i="2"/>
  <c r="AG89" i="2"/>
  <c r="AG85" i="2"/>
  <c r="AG81" i="2"/>
  <c r="AG77" i="2"/>
  <c r="AG73" i="2"/>
  <c r="AG69" i="2"/>
  <c r="AG65" i="2"/>
  <c r="AF89" i="2"/>
  <c r="AF85" i="2"/>
  <c r="AF81" i="2"/>
  <c r="AF77" i="2"/>
  <c r="AF73" i="2"/>
  <c r="AF69" i="2"/>
  <c r="AF65" i="2"/>
  <c r="AE89" i="2"/>
  <c r="AE85" i="2"/>
  <c r="AE81" i="2"/>
  <c r="AE77" i="2"/>
  <c r="AE73" i="2"/>
  <c r="AE69" i="2"/>
  <c r="AE65" i="2"/>
  <c r="AD89" i="2"/>
  <c r="AD85" i="2"/>
  <c r="AD81" i="2"/>
  <c r="AD77" i="2"/>
  <c r="AD73" i="2"/>
  <c r="AD69" i="2"/>
  <c r="AD65" i="2"/>
  <c r="AC89" i="2"/>
  <c r="AC85" i="2"/>
  <c r="AC81" i="2"/>
  <c r="AC77" i="2"/>
  <c r="AC73" i="2"/>
  <c r="AC69" i="2"/>
  <c r="AC65" i="2"/>
  <c r="AB89" i="2"/>
  <c r="AB85" i="2"/>
  <c r="AB81" i="2"/>
  <c r="AB77" i="2"/>
  <c r="AB73" i="2"/>
  <c r="AB69" i="2"/>
  <c r="AB65" i="2"/>
  <c r="AA89" i="2"/>
  <c r="AA85" i="2"/>
  <c r="AA81" i="2"/>
  <c r="AA77" i="2"/>
  <c r="AA73" i="2"/>
  <c r="AA69" i="2"/>
  <c r="AA65" i="2"/>
  <c r="Z89" i="2"/>
  <c r="Z85" i="2"/>
  <c r="Z81" i="2"/>
  <c r="Z77" i="2"/>
  <c r="Z73" i="2"/>
  <c r="Z69" i="2"/>
  <c r="Z65" i="2"/>
  <c r="Y89" i="2"/>
  <c r="Y85" i="2"/>
  <c r="Y81" i="2"/>
  <c r="Y77" i="2"/>
  <c r="Y73" i="2"/>
  <c r="Y69" i="2"/>
  <c r="Y65" i="2"/>
  <c r="X89" i="2"/>
  <c r="X85" i="2"/>
  <c r="X81" i="2"/>
  <c r="X77" i="2"/>
  <c r="X73" i="2"/>
  <c r="X69" i="2"/>
  <c r="X65" i="2"/>
  <c r="W89" i="2"/>
  <c r="W85" i="2"/>
  <c r="W81" i="2"/>
  <c r="W77" i="2"/>
  <c r="W73" i="2"/>
  <c r="W69" i="2"/>
  <c r="W65" i="2"/>
  <c r="V89" i="2"/>
  <c r="V85" i="2"/>
  <c r="V81" i="2"/>
  <c r="V77" i="2"/>
  <c r="V73" i="2"/>
  <c r="V69" i="2"/>
  <c r="V65" i="2"/>
  <c r="U89" i="2"/>
  <c r="U85" i="2"/>
  <c r="U81" i="2"/>
  <c r="U77" i="2"/>
  <c r="U73" i="2"/>
  <c r="U69" i="2"/>
  <c r="U65" i="2"/>
  <c r="T89" i="2"/>
  <c r="T85" i="2"/>
  <c r="T81" i="2"/>
  <c r="T77" i="2"/>
  <c r="T73" i="2"/>
  <c r="T69" i="2"/>
  <c r="T65" i="2"/>
  <c r="S89" i="2"/>
  <c r="S85" i="2"/>
  <c r="S81" i="2"/>
  <c r="S77" i="2"/>
  <c r="S73" i="2"/>
  <c r="S69" i="2"/>
  <c r="S65" i="2"/>
  <c r="R89" i="2"/>
  <c r="R85" i="2"/>
  <c r="R81" i="2"/>
  <c r="R77" i="2"/>
  <c r="R73" i="2"/>
  <c r="R69" i="2"/>
  <c r="R65" i="2"/>
  <c r="Q89" i="2"/>
  <c r="Q85" i="2"/>
  <c r="Q81" i="2"/>
  <c r="Q77" i="2"/>
  <c r="Q73" i="2"/>
  <c r="Q69" i="2"/>
  <c r="Q65" i="2"/>
  <c r="P89" i="2"/>
  <c r="P85" i="2"/>
  <c r="P81" i="2"/>
  <c r="P77" i="2"/>
  <c r="P73" i="2"/>
  <c r="P69" i="2"/>
  <c r="P65" i="2"/>
  <c r="O89" i="2"/>
  <c r="O85" i="2"/>
  <c r="O81" i="2"/>
  <c r="O77" i="2"/>
  <c r="O73" i="2"/>
  <c r="O69" i="2"/>
  <c r="O65" i="2"/>
  <c r="N89" i="2"/>
  <c r="N85" i="2"/>
  <c r="N81" i="2"/>
  <c r="N77" i="2"/>
  <c r="N73" i="2"/>
  <c r="N69" i="2"/>
  <c r="N65" i="2"/>
  <c r="M89" i="2"/>
  <c r="M85" i="2"/>
  <c r="M81" i="2"/>
  <c r="M77" i="2"/>
  <c r="M73" i="2"/>
  <c r="M69" i="2"/>
  <c r="M65" i="2"/>
  <c r="L89" i="2"/>
  <c r="L85" i="2"/>
  <c r="L81" i="2"/>
  <c r="L77" i="2"/>
  <c r="L73" i="2"/>
  <c r="L69" i="2"/>
  <c r="L65" i="2"/>
  <c r="K89" i="2"/>
  <c r="K85" i="2"/>
  <c r="K81" i="2"/>
  <c r="K77" i="2"/>
  <c r="K73" i="2"/>
  <c r="K69" i="2"/>
  <c r="K65" i="2"/>
  <c r="J89" i="2"/>
  <c r="J85" i="2"/>
  <c r="J81" i="2"/>
  <c r="J77" i="2"/>
  <c r="J73" i="2"/>
  <c r="J69" i="2"/>
  <c r="J65" i="2"/>
  <c r="I89" i="2"/>
  <c r="I85" i="2"/>
  <c r="I81" i="2"/>
  <c r="I77" i="2"/>
  <c r="I73" i="2"/>
  <c r="I69" i="2"/>
  <c r="I65" i="2"/>
  <c r="H89" i="2"/>
  <c r="H85" i="2"/>
  <c r="H81" i="2"/>
  <c r="H77" i="2"/>
  <c r="H73" i="2"/>
  <c r="H69" i="2"/>
  <c r="H65" i="2"/>
  <c r="G89" i="2"/>
  <c r="G85" i="2"/>
  <c r="G81" i="2"/>
  <c r="G77" i="2"/>
  <c r="G73" i="2"/>
  <c r="G69" i="2"/>
  <c r="G65" i="2"/>
  <c r="F89" i="2"/>
  <c r="F85" i="2"/>
  <c r="F81" i="2"/>
  <c r="F77" i="2"/>
  <c r="F73" i="2"/>
  <c r="F69" i="2"/>
  <c r="F65" i="2"/>
  <c r="E89" i="2"/>
  <c r="E85" i="2"/>
  <c r="E81" i="2"/>
  <c r="E77" i="2"/>
  <c r="E73" i="2"/>
  <c r="E69" i="2"/>
  <c r="E65" i="2"/>
  <c r="D89" i="2"/>
  <c r="D85" i="2"/>
  <c r="D81" i="2"/>
  <c r="D77" i="2"/>
  <c r="D73" i="2"/>
  <c r="D69" i="2"/>
  <c r="D65" i="2"/>
  <c r="C89" i="2"/>
  <c r="C85" i="2"/>
  <c r="C81" i="2"/>
  <c r="C77" i="2"/>
  <c r="C73" i="2"/>
  <c r="C69" i="2"/>
  <c r="C65" i="2"/>
  <c r="E72" i="7"/>
  <c r="E71" i="7"/>
  <c r="F71" i="7" s="1"/>
  <c r="G62" i="7"/>
  <c r="G80" i="7" s="1"/>
  <c r="F62" i="7"/>
  <c r="F80" i="7" s="1"/>
  <c r="E62" i="7"/>
  <c r="E80" i="7" s="1"/>
  <c r="D62" i="7"/>
  <c r="D80" i="7" s="1"/>
  <c r="C62" i="7"/>
  <c r="C80" i="7" s="1"/>
  <c r="B62" i="7"/>
  <c r="B80" i="7" s="1"/>
  <c r="G59" i="7"/>
  <c r="G60" i="7" s="1"/>
  <c r="F59" i="7"/>
  <c r="F60" i="7" s="1"/>
  <c r="E59" i="7"/>
  <c r="E60" i="7" s="1"/>
  <c r="D59" i="7"/>
  <c r="D60" i="7" s="1"/>
  <c r="C59" i="7"/>
  <c r="C60" i="7" s="1"/>
  <c r="B59" i="7"/>
  <c r="B60" i="7" s="1"/>
  <c r="B55" i="7"/>
  <c r="C61" i="7" s="1"/>
  <c r="G53" i="7"/>
  <c r="D53" i="7"/>
  <c r="C48" i="7"/>
  <c r="D51" i="7" s="1"/>
  <c r="E35" i="7"/>
  <c r="D35" i="7"/>
  <c r="C35" i="7"/>
  <c r="B33" i="7"/>
  <c r="E33" i="7" s="1"/>
  <c r="R29" i="7"/>
  <c r="S29" i="7" s="1"/>
  <c r="E29" i="7"/>
  <c r="R28" i="7"/>
  <c r="S28" i="7" s="1"/>
  <c r="S27" i="7"/>
  <c r="R27" i="7"/>
  <c r="R26" i="7"/>
  <c r="S26" i="7" s="1"/>
  <c r="S25" i="7"/>
  <c r="R25" i="7"/>
  <c r="R24" i="7"/>
  <c r="S24" i="7" s="1"/>
  <c r="R23" i="7"/>
  <c r="S23" i="7" s="1"/>
  <c r="S22" i="7"/>
  <c r="R22" i="7"/>
  <c r="E22" i="7"/>
  <c r="S21" i="7"/>
  <c r="R21" i="7"/>
  <c r="R20" i="7"/>
  <c r="S20" i="7" s="1"/>
  <c r="R19" i="7"/>
  <c r="S19" i="7" s="1"/>
  <c r="R18" i="7"/>
  <c r="S18" i="7" s="1"/>
  <c r="R17" i="7"/>
  <c r="S17" i="7" s="1"/>
  <c r="G17" i="7"/>
  <c r="R16" i="7"/>
  <c r="S16" i="7" s="1"/>
  <c r="S15" i="7"/>
  <c r="R15" i="7"/>
  <c r="C15" i="7"/>
  <c r="R14" i="7"/>
  <c r="S14" i="7" s="1"/>
  <c r="S13" i="7"/>
  <c r="R13" i="7"/>
  <c r="S12" i="7"/>
  <c r="R12" i="7"/>
  <c r="S11" i="7"/>
  <c r="R11" i="7"/>
  <c r="R10" i="7"/>
  <c r="S10" i="7" s="1"/>
  <c r="E10" i="7"/>
  <c r="B15" i="7" s="1"/>
  <c r="R9" i="7"/>
  <c r="S9" i="7" s="1"/>
  <c r="S8" i="7"/>
  <c r="R8" i="7"/>
  <c r="B8" i="7"/>
  <c r="S7" i="7"/>
  <c r="R7" i="7"/>
  <c r="R6" i="7"/>
  <c r="S6" i="7" s="1"/>
  <c r="C6" i="7"/>
  <c r="R5" i="7"/>
  <c r="S5" i="7" s="1"/>
  <c r="R4" i="7"/>
  <c r="S4" i="7" s="1"/>
  <c r="I157" i="4"/>
  <c r="B157" i="4"/>
  <c r="AH63" i="2"/>
  <c r="AG63" i="2"/>
  <c r="AF63" i="2"/>
  <c r="AE63" i="2"/>
  <c r="AD63" i="2"/>
  <c r="AC63" i="2"/>
  <c r="AB63" i="2"/>
  <c r="AA63" i="2"/>
  <c r="Z63" i="2"/>
  <c r="Y63" i="2"/>
  <c r="X63" i="2"/>
  <c r="W63" i="2"/>
  <c r="V63" i="2"/>
  <c r="U63" i="2"/>
  <c r="T63" i="2"/>
  <c r="S63" i="2"/>
  <c r="R63" i="2"/>
  <c r="Q63" i="2"/>
  <c r="P63" i="2"/>
  <c r="O63" i="2"/>
  <c r="N63" i="2"/>
  <c r="M63" i="2"/>
  <c r="L63" i="2"/>
  <c r="K63" i="2"/>
  <c r="J63" i="2"/>
  <c r="I63" i="2"/>
  <c r="H63" i="2"/>
  <c r="G63" i="2"/>
  <c r="F63" i="2"/>
  <c r="E63" i="2"/>
  <c r="D63" i="2"/>
  <c r="C63" i="2"/>
  <c r="AH57" i="2"/>
  <c r="AG57" i="2"/>
  <c r="AF57" i="2"/>
  <c r="AE57" i="2"/>
  <c r="AD57" i="2"/>
  <c r="AC57" i="2"/>
  <c r="AB57" i="2"/>
  <c r="AA57" i="2"/>
  <c r="Z57" i="2"/>
  <c r="Y57" i="2"/>
  <c r="X57" i="2"/>
  <c r="W57" i="2"/>
  <c r="V57" i="2"/>
  <c r="U57" i="2"/>
  <c r="T57" i="2"/>
  <c r="S57" i="2"/>
  <c r="R57" i="2"/>
  <c r="Q57" i="2"/>
  <c r="P57" i="2"/>
  <c r="O57" i="2"/>
  <c r="N57" i="2"/>
  <c r="M57" i="2"/>
  <c r="L57" i="2"/>
  <c r="K57" i="2"/>
  <c r="J57" i="2"/>
  <c r="I57" i="2"/>
  <c r="H57" i="2"/>
  <c r="G57" i="2"/>
  <c r="F57" i="2"/>
  <c r="E57" i="2"/>
  <c r="D57" i="2"/>
  <c r="C57" i="2"/>
  <c r="AH53" i="2"/>
  <c r="AG53" i="2"/>
  <c r="AF53" i="2"/>
  <c r="AE53" i="2"/>
  <c r="AD53" i="2"/>
  <c r="AC53" i="2"/>
  <c r="AB53" i="2"/>
  <c r="AA53" i="2"/>
  <c r="Z53" i="2"/>
  <c r="Y53" i="2"/>
  <c r="X53" i="2"/>
  <c r="W53" i="2"/>
  <c r="V53" i="2"/>
  <c r="U53" i="2"/>
  <c r="T53" i="2"/>
  <c r="S53" i="2"/>
  <c r="R53" i="2"/>
  <c r="Q53" i="2"/>
  <c r="P53" i="2"/>
  <c r="O53" i="2"/>
  <c r="N53" i="2"/>
  <c r="M53" i="2"/>
  <c r="L53" i="2"/>
  <c r="K53" i="2"/>
  <c r="J53" i="2"/>
  <c r="I53" i="2"/>
  <c r="H53" i="2"/>
  <c r="G53" i="2"/>
  <c r="F53" i="2"/>
  <c r="E53" i="2"/>
  <c r="D53" i="2"/>
  <c r="C53" i="2"/>
  <c r="AH49" i="2"/>
  <c r="AG49" i="2"/>
  <c r="AF49" i="2"/>
  <c r="AE49" i="2"/>
  <c r="AD49" i="2"/>
  <c r="AC49" i="2"/>
  <c r="AB49" i="2"/>
  <c r="AA49" i="2"/>
  <c r="Z49" i="2"/>
  <c r="Y49" i="2"/>
  <c r="X49" i="2"/>
  <c r="W49" i="2"/>
  <c r="V49" i="2"/>
  <c r="U49" i="2"/>
  <c r="T49" i="2"/>
  <c r="S49" i="2"/>
  <c r="R49" i="2"/>
  <c r="Q49" i="2"/>
  <c r="P49" i="2"/>
  <c r="O49" i="2"/>
  <c r="N49" i="2"/>
  <c r="M49" i="2"/>
  <c r="L49" i="2"/>
  <c r="K49" i="2"/>
  <c r="J49" i="2"/>
  <c r="I49" i="2"/>
  <c r="H49" i="2"/>
  <c r="G49" i="2"/>
  <c r="F49" i="2"/>
  <c r="E49" i="2"/>
  <c r="D49" i="2"/>
  <c r="C49" i="2"/>
  <c r="AH45" i="2"/>
  <c r="AG45" i="2"/>
  <c r="AF45" i="2"/>
  <c r="AE45" i="2"/>
  <c r="AD45" i="2"/>
  <c r="AC45" i="2"/>
  <c r="AB45" i="2"/>
  <c r="AA45" i="2"/>
  <c r="Z45" i="2"/>
  <c r="Y45" i="2"/>
  <c r="X45" i="2"/>
  <c r="W45" i="2"/>
  <c r="V45" i="2"/>
  <c r="U45" i="2"/>
  <c r="T45" i="2"/>
  <c r="S45" i="2"/>
  <c r="R45" i="2"/>
  <c r="Q45" i="2"/>
  <c r="P45" i="2"/>
  <c r="O45" i="2"/>
  <c r="N45" i="2"/>
  <c r="M45" i="2"/>
  <c r="L45" i="2"/>
  <c r="K45" i="2"/>
  <c r="J45" i="2"/>
  <c r="I45" i="2"/>
  <c r="H45" i="2"/>
  <c r="G45" i="2"/>
  <c r="F45" i="2"/>
  <c r="E45" i="2"/>
  <c r="D45" i="2"/>
  <c r="C45" i="2"/>
  <c r="AH41" i="2"/>
  <c r="AG41" i="2"/>
  <c r="AF41" i="2"/>
  <c r="AE41" i="2"/>
  <c r="AD41" i="2"/>
  <c r="AC41" i="2"/>
  <c r="AB41" i="2"/>
  <c r="AA41" i="2"/>
  <c r="Z41" i="2"/>
  <c r="Y41" i="2"/>
  <c r="X41" i="2"/>
  <c r="W41" i="2"/>
  <c r="V41" i="2"/>
  <c r="U41" i="2"/>
  <c r="T41" i="2"/>
  <c r="S41" i="2"/>
  <c r="R41" i="2"/>
  <c r="Q41" i="2"/>
  <c r="P41" i="2"/>
  <c r="O41" i="2"/>
  <c r="N41" i="2"/>
  <c r="M41" i="2"/>
  <c r="L41" i="2"/>
  <c r="K41" i="2"/>
  <c r="J41" i="2"/>
  <c r="I41" i="2"/>
  <c r="H41" i="2"/>
  <c r="G41" i="2"/>
  <c r="F41" i="2"/>
  <c r="E41" i="2"/>
  <c r="D41" i="2"/>
  <c r="C41" i="2"/>
  <c r="AH37" i="2"/>
  <c r="AG37" i="2"/>
  <c r="AF37" i="2"/>
  <c r="AE37" i="2"/>
  <c r="AD37" i="2"/>
  <c r="AC37" i="2"/>
  <c r="AB37" i="2"/>
  <c r="AA37" i="2"/>
  <c r="Z37" i="2"/>
  <c r="Y37" i="2"/>
  <c r="X37" i="2"/>
  <c r="W37" i="2"/>
  <c r="V37" i="2"/>
  <c r="U37" i="2"/>
  <c r="T37" i="2"/>
  <c r="S37" i="2"/>
  <c r="R37" i="2"/>
  <c r="Q37" i="2"/>
  <c r="P37" i="2"/>
  <c r="O37" i="2"/>
  <c r="N37" i="2"/>
  <c r="M37" i="2"/>
  <c r="L37" i="2"/>
  <c r="K37" i="2"/>
  <c r="J37" i="2"/>
  <c r="I37" i="2"/>
  <c r="H37" i="2"/>
  <c r="G37" i="2"/>
  <c r="F37" i="2"/>
  <c r="E37" i="2"/>
  <c r="D37" i="2"/>
  <c r="C37" i="2"/>
  <c r="AH35" i="2"/>
  <c r="AG35" i="2"/>
  <c r="AF35" i="2"/>
  <c r="AE35" i="2"/>
  <c r="AD35" i="2"/>
  <c r="AC35" i="2"/>
  <c r="AB35" i="2"/>
  <c r="AA35" i="2"/>
  <c r="Z35" i="2"/>
  <c r="Y35" i="2"/>
  <c r="X35" i="2"/>
  <c r="W35" i="2"/>
  <c r="V35" i="2"/>
  <c r="U35" i="2"/>
  <c r="T35" i="2"/>
  <c r="S35" i="2"/>
  <c r="R35" i="2"/>
  <c r="Q35" i="2"/>
  <c r="P35" i="2"/>
  <c r="O35" i="2"/>
  <c r="N35" i="2"/>
  <c r="M35" i="2"/>
  <c r="L35" i="2"/>
  <c r="K35" i="2"/>
  <c r="J35" i="2"/>
  <c r="I35" i="2"/>
  <c r="H35" i="2"/>
  <c r="G35" i="2"/>
  <c r="F35" i="2"/>
  <c r="E35" i="2"/>
  <c r="D35" i="2"/>
  <c r="C35" i="2"/>
  <c r="C28" i="2" s="1"/>
  <c r="C30" i="2" s="1"/>
  <c r="AH32" i="2"/>
  <c r="AG32" i="2"/>
  <c r="AF32" i="2"/>
  <c r="AE32" i="2"/>
  <c r="AD32" i="2"/>
  <c r="AC32" i="2"/>
  <c r="AB32" i="2"/>
  <c r="AA32" i="2"/>
  <c r="Z32" i="2"/>
  <c r="Y32" i="2"/>
  <c r="X32" i="2"/>
  <c r="W32" i="2"/>
  <c r="V32" i="2"/>
  <c r="U32" i="2"/>
  <c r="T32" i="2"/>
  <c r="S32" i="2"/>
  <c r="R32" i="2"/>
  <c r="Q32" i="2"/>
  <c r="P32" i="2"/>
  <c r="O32" i="2"/>
  <c r="N32" i="2"/>
  <c r="M32" i="2"/>
  <c r="L32" i="2"/>
  <c r="K32" i="2"/>
  <c r="J32" i="2"/>
  <c r="I32" i="2"/>
  <c r="H32" i="2"/>
  <c r="G32" i="2"/>
  <c r="F32" i="2"/>
  <c r="E32" i="2"/>
  <c r="D32" i="2"/>
  <c r="C32" i="2"/>
  <c r="AH29" i="2"/>
  <c r="AG29" i="2"/>
  <c r="AF29" i="2"/>
  <c r="AE29" i="2"/>
  <c r="AD29" i="2"/>
  <c r="AC29" i="2"/>
  <c r="AB29" i="2"/>
  <c r="AA29" i="2"/>
  <c r="Z29" i="2"/>
  <c r="Y29" i="2"/>
  <c r="X29" i="2"/>
  <c r="W29" i="2"/>
  <c r="V29" i="2"/>
  <c r="U29" i="2"/>
  <c r="T29" i="2"/>
  <c r="S29" i="2"/>
  <c r="R29" i="2"/>
  <c r="Q29" i="2"/>
  <c r="P29" i="2"/>
  <c r="O29" i="2"/>
  <c r="N29" i="2"/>
  <c r="M29" i="2"/>
  <c r="L29" i="2"/>
  <c r="K29" i="2"/>
  <c r="J29" i="2"/>
  <c r="I29" i="2"/>
  <c r="H29" i="2"/>
  <c r="G29" i="2"/>
  <c r="F29" i="2"/>
  <c r="E29" i="2"/>
  <c r="D29" i="2"/>
  <c r="C29" i="2"/>
  <c r="AH28" i="2"/>
  <c r="AH30" i="2" s="1"/>
  <c r="AG28" i="2"/>
  <c r="AG30" i="2" s="1"/>
  <c r="AF28" i="2"/>
  <c r="AF30" i="2" s="1"/>
  <c r="AE28" i="2"/>
  <c r="AE30" i="2" s="1"/>
  <c r="AD28" i="2"/>
  <c r="AD30" i="2" s="1"/>
  <c r="AC28" i="2"/>
  <c r="AC30" i="2" s="1"/>
  <c r="AB28" i="2"/>
  <c r="AB30" i="2" s="1"/>
  <c r="AA28" i="2"/>
  <c r="AA30" i="2" s="1"/>
  <c r="Z28" i="2"/>
  <c r="Z30" i="2" s="1"/>
  <c r="Y28" i="2"/>
  <c r="Y30" i="2" s="1"/>
  <c r="X28" i="2"/>
  <c r="X30" i="2" s="1"/>
  <c r="W28" i="2"/>
  <c r="W30" i="2" s="1"/>
  <c r="V28" i="2"/>
  <c r="V30" i="2" s="1"/>
  <c r="U28" i="2"/>
  <c r="U30" i="2" s="1"/>
  <c r="T28" i="2"/>
  <c r="T30" i="2" s="1"/>
  <c r="S28" i="2"/>
  <c r="S30" i="2" s="1"/>
  <c r="R28" i="2"/>
  <c r="R30" i="2" s="1"/>
  <c r="Q28" i="2"/>
  <c r="Q30" i="2" s="1"/>
  <c r="P28" i="2"/>
  <c r="P30" i="2" s="1"/>
  <c r="O28" i="2"/>
  <c r="O30" i="2" s="1"/>
  <c r="N28" i="2"/>
  <c r="N30" i="2" s="1"/>
  <c r="M28" i="2"/>
  <c r="M30" i="2" s="1"/>
  <c r="L28" i="2"/>
  <c r="L30" i="2" s="1"/>
  <c r="K28" i="2"/>
  <c r="K30" i="2" s="1"/>
  <c r="J28" i="2"/>
  <c r="J30" i="2" s="1"/>
  <c r="I28" i="2"/>
  <c r="I30" i="2" s="1"/>
  <c r="H28" i="2"/>
  <c r="H30" i="2" s="1"/>
  <c r="G28" i="2"/>
  <c r="G30" i="2" s="1"/>
  <c r="F28" i="2"/>
  <c r="F30" i="2" s="1"/>
  <c r="E28" i="2"/>
  <c r="E30" i="2" s="1"/>
  <c r="D28" i="2"/>
  <c r="D30" i="2" s="1"/>
  <c r="AA21" i="2"/>
  <c r="Z21" i="2"/>
  <c r="Y21" i="2"/>
  <c r="X21" i="2"/>
  <c r="W21" i="2"/>
  <c r="V21" i="2"/>
  <c r="U21" i="2"/>
  <c r="T21" i="2"/>
  <c r="S21" i="2"/>
  <c r="R21" i="2"/>
  <c r="Q21" i="2"/>
  <c r="P21" i="2"/>
  <c r="O21" i="2"/>
  <c r="N21" i="2"/>
  <c r="M21" i="2"/>
  <c r="L21" i="2"/>
  <c r="K21" i="2"/>
  <c r="J21" i="2"/>
  <c r="I21" i="2"/>
  <c r="H21" i="2"/>
  <c r="G21" i="2"/>
  <c r="F21" i="2"/>
  <c r="E21" i="2"/>
  <c r="D21" i="2"/>
  <c r="C21" i="2"/>
  <c r="AH19" i="2"/>
  <c r="AG19" i="2"/>
  <c r="AF19" i="2"/>
  <c r="AE19" i="2"/>
  <c r="AD19" i="2"/>
  <c r="AC19" i="2"/>
  <c r="AB19" i="2"/>
  <c r="AA19" i="2"/>
  <c r="Z19" i="2"/>
  <c r="Y19" i="2"/>
  <c r="X19" i="2"/>
  <c r="W19" i="2"/>
  <c r="V19" i="2"/>
  <c r="U19" i="2"/>
  <c r="T19" i="2"/>
  <c r="S19" i="2"/>
  <c r="R19" i="2"/>
  <c r="Q19" i="2"/>
  <c r="P19" i="2"/>
  <c r="O19" i="2"/>
  <c r="N19" i="2"/>
  <c r="M19" i="2"/>
  <c r="L19" i="2"/>
  <c r="K19" i="2"/>
  <c r="J19" i="2"/>
  <c r="I19" i="2"/>
  <c r="H19" i="2"/>
  <c r="G19" i="2"/>
  <c r="F19" i="2"/>
  <c r="E19" i="2"/>
  <c r="D19" i="2"/>
  <c r="C19" i="2"/>
  <c r="AH18" i="2"/>
  <c r="AG18" i="2"/>
  <c r="AF18" i="2"/>
  <c r="AE18" i="2"/>
  <c r="AD18" i="2"/>
  <c r="AC18" i="2"/>
  <c r="AB18" i="2"/>
  <c r="AA18" i="2"/>
  <c r="Z18" i="2"/>
  <c r="Y18" i="2"/>
  <c r="X18" i="2"/>
  <c r="W18" i="2"/>
  <c r="V18" i="2"/>
  <c r="U18" i="2"/>
  <c r="T18" i="2"/>
  <c r="S18" i="2"/>
  <c r="R18" i="2"/>
  <c r="Q18" i="2"/>
  <c r="P18" i="2"/>
  <c r="O18" i="2"/>
  <c r="N18" i="2"/>
  <c r="M18" i="2"/>
  <c r="L18" i="2"/>
  <c r="K18" i="2"/>
  <c r="J18" i="2"/>
  <c r="I18" i="2"/>
  <c r="H18" i="2"/>
  <c r="G18" i="2"/>
  <c r="F18" i="2"/>
  <c r="E18" i="2"/>
  <c r="D18" i="2"/>
  <c r="C18" i="2"/>
  <c r="AH17" i="2"/>
  <c r="AG17" i="2"/>
  <c r="AF17" i="2"/>
  <c r="AE17" i="2"/>
  <c r="AD17" i="2"/>
  <c r="AC17" i="2"/>
  <c r="AB17" i="2"/>
  <c r="AA17" i="2"/>
  <c r="Z17" i="2"/>
  <c r="Y17" i="2"/>
  <c r="X17" i="2"/>
  <c r="W17" i="2"/>
  <c r="V17" i="2"/>
  <c r="U17" i="2"/>
  <c r="T17" i="2"/>
  <c r="S17" i="2"/>
  <c r="R17" i="2"/>
  <c r="Q17" i="2"/>
  <c r="P17" i="2"/>
  <c r="O17" i="2"/>
  <c r="N17" i="2"/>
  <c r="M17" i="2"/>
  <c r="L17" i="2"/>
  <c r="K17" i="2"/>
  <c r="J17" i="2"/>
  <c r="I17" i="2"/>
  <c r="H17" i="2"/>
  <c r="G17" i="2"/>
  <c r="F17" i="2"/>
  <c r="E17" i="2"/>
  <c r="D17" i="2"/>
  <c r="C17" i="2"/>
  <c r="Y14" i="2"/>
  <c r="X14" i="2"/>
  <c r="W14" i="2"/>
  <c r="V14" i="2"/>
  <c r="R14" i="2"/>
  <c r="O14" i="2"/>
  <c r="N14" i="2"/>
  <c r="M14" i="2"/>
  <c r="L14" i="2"/>
  <c r="K14" i="2"/>
  <c r="F14" i="2"/>
  <c r="E14" i="2"/>
  <c r="C14" i="2"/>
  <c r="AH13" i="2"/>
  <c r="AH14" i="2" s="1"/>
  <c r="AG13" i="2"/>
  <c r="AG14" i="2" s="1"/>
  <c r="AF13" i="2"/>
  <c r="AF14" i="2" s="1"/>
  <c r="AE13" i="2"/>
  <c r="AD13" i="2"/>
  <c r="AC13" i="2"/>
  <c r="AB13" i="2"/>
  <c r="AA13" i="2"/>
  <c r="AA14" i="2" s="1"/>
  <c r="Z13" i="2"/>
  <c r="Z14" i="2" s="1"/>
  <c r="U13" i="2"/>
  <c r="U14" i="2" s="1"/>
  <c r="T13" i="2"/>
  <c r="T14" i="2" s="1"/>
  <c r="S13" i="2"/>
  <c r="S14" i="2" s="1"/>
  <c r="Q13" i="2"/>
  <c r="Q14" i="2" s="1"/>
  <c r="P13" i="2"/>
  <c r="P14" i="2" s="1"/>
  <c r="O13" i="2"/>
  <c r="N13" i="2"/>
  <c r="M13" i="2"/>
  <c r="L13" i="2"/>
  <c r="K13" i="2"/>
  <c r="J13" i="2"/>
  <c r="J14" i="2" s="1"/>
  <c r="I13" i="2"/>
  <c r="I14" i="2" s="1"/>
  <c r="H13" i="2"/>
  <c r="H14" i="2" s="1"/>
  <c r="G13" i="2"/>
  <c r="G14" i="2" s="1"/>
  <c r="F13" i="2"/>
  <c r="E13" i="2"/>
  <c r="D13" i="2"/>
  <c r="D14" i="2" s="1"/>
  <c r="C13" i="2"/>
  <c r="AD7" i="2"/>
  <c r="AA7" i="2"/>
  <c r="Y7" i="2"/>
  <c r="W7" i="2"/>
  <c r="V7" i="2"/>
  <c r="U7" i="2"/>
  <c r="T7" i="2"/>
  <c r="S7" i="2"/>
  <c r="R7" i="2"/>
  <c r="J7" i="2"/>
  <c r="I7" i="2"/>
  <c r="AG6" i="2"/>
  <c r="AA6" i="2"/>
  <c r="Y6" i="2"/>
  <c r="X6" i="2"/>
  <c r="W6" i="2"/>
  <c r="V6" i="2"/>
  <c r="U6" i="2"/>
  <c r="T6" i="2"/>
  <c r="S6" i="2"/>
  <c r="R6" i="2"/>
  <c r="J6" i="2"/>
  <c r="I6" i="2"/>
  <c r="F6" i="2"/>
  <c r="AH4" i="2"/>
  <c r="AG4" i="2"/>
  <c r="AG7" i="2" s="1"/>
  <c r="AF4" i="2"/>
  <c r="AE4" i="2"/>
  <c r="AE14" i="2" s="1"/>
  <c r="AD4" i="2"/>
  <c r="AD14" i="2" s="1"/>
  <c r="AC4" i="2"/>
  <c r="AC14" i="2" s="1"/>
  <c r="AB4" i="2"/>
  <c r="AB14" i="2" s="1"/>
  <c r="AH3" i="2"/>
  <c r="AH7" i="2" s="1"/>
  <c r="AG3" i="2"/>
  <c r="AF3" i="2"/>
  <c r="AF7" i="2" s="1"/>
  <c r="AE3" i="2"/>
  <c r="AE7" i="2" s="1"/>
  <c r="AD3" i="2"/>
  <c r="AD6" i="2" s="1"/>
  <c r="AC3" i="2"/>
  <c r="AB3" i="2"/>
  <c r="AA3" i="2"/>
  <c r="Z3" i="2"/>
  <c r="Z7" i="2" s="1"/>
  <c r="Y3" i="2"/>
  <c r="X3" i="2"/>
  <c r="X7" i="2" s="1"/>
  <c r="W3" i="2"/>
  <c r="V3" i="2"/>
  <c r="U3" i="2"/>
  <c r="T3" i="2"/>
  <c r="S3" i="2"/>
  <c r="R3" i="2"/>
  <c r="Q3" i="2"/>
  <c r="Q7" i="2" s="1"/>
  <c r="P3" i="2"/>
  <c r="P7" i="2" s="1"/>
  <c r="O3" i="2"/>
  <c r="O7" i="2" s="1"/>
  <c r="N3" i="2"/>
  <c r="N7" i="2" s="1"/>
  <c r="M3" i="2"/>
  <c r="M7" i="2" s="1"/>
  <c r="L3" i="2"/>
  <c r="L7" i="2" s="1"/>
  <c r="X27" i="2" s="1"/>
  <c r="K3" i="2"/>
  <c r="K7" i="2" s="1"/>
  <c r="X26" i="2" s="1"/>
  <c r="J3" i="2"/>
  <c r="I3" i="2"/>
  <c r="H3" i="2"/>
  <c r="H7" i="2" s="1"/>
  <c r="G3" i="2"/>
  <c r="G7" i="2" s="1"/>
  <c r="F3" i="2"/>
  <c r="F7" i="2" s="1"/>
  <c r="E3" i="2"/>
  <c r="E7" i="2" s="1"/>
  <c r="D3" i="2"/>
  <c r="D7" i="2" s="1"/>
  <c r="C3" i="2"/>
  <c r="C7" i="2" s="1"/>
  <c r="Q87" i="1"/>
  <c r="O87" i="1"/>
  <c r="L87" i="1"/>
  <c r="K87" i="1"/>
  <c r="O86" i="1"/>
  <c r="F86" i="1"/>
  <c r="E86" i="1"/>
  <c r="Q85" i="1"/>
  <c r="O85" i="1"/>
  <c r="L85" i="1"/>
  <c r="K85" i="1"/>
  <c r="O84" i="1"/>
  <c r="F84" i="1"/>
  <c r="E84" i="1"/>
  <c r="Q83" i="1"/>
  <c r="O83" i="1"/>
  <c r="L83" i="1"/>
  <c r="K83" i="1"/>
  <c r="O82" i="1"/>
  <c r="F82" i="1"/>
  <c r="E82" i="1"/>
  <c r="Q81" i="1"/>
  <c r="O81" i="1"/>
  <c r="L81" i="1"/>
  <c r="K81" i="1"/>
  <c r="D71" i="1"/>
  <c r="O68" i="1"/>
  <c r="O56" i="1" s="1"/>
  <c r="D66" i="1"/>
  <c r="S65" i="1"/>
  <c r="S64" i="1" s="1"/>
  <c r="R65" i="1"/>
  <c r="Q65" i="1"/>
  <c r="P65" i="1"/>
  <c r="O65" i="1"/>
  <c r="N65" i="1"/>
  <c r="M65" i="1"/>
  <c r="L65" i="1"/>
  <c r="K65" i="1"/>
  <c r="J65" i="1"/>
  <c r="I65" i="1"/>
  <c r="H65" i="1"/>
  <c r="G65" i="1"/>
  <c r="F65" i="1"/>
  <c r="E65" i="1"/>
  <c r="D65" i="1"/>
  <c r="S63" i="1"/>
  <c r="R63" i="1"/>
  <c r="Q63" i="1"/>
  <c r="P63" i="1"/>
  <c r="O63" i="1"/>
  <c r="N63" i="1"/>
  <c r="M63" i="1"/>
  <c r="L63" i="1"/>
  <c r="K63" i="1"/>
  <c r="J63" i="1"/>
  <c r="I63" i="1"/>
  <c r="H63" i="1"/>
  <c r="G63" i="1"/>
  <c r="F63" i="1"/>
  <c r="E63" i="1"/>
  <c r="D63" i="1"/>
  <c r="R62" i="1"/>
  <c r="R68" i="1" s="1"/>
  <c r="P62" i="1"/>
  <c r="P68" i="1" s="1"/>
  <c r="O62" i="1"/>
  <c r="N62" i="1"/>
  <c r="N68" i="1" s="1"/>
  <c r="K62" i="1"/>
  <c r="K68" i="1" s="1"/>
  <c r="J62" i="1"/>
  <c r="J68" i="1" s="1"/>
  <c r="D56" i="1"/>
  <c r="D55" i="1"/>
  <c r="D61" i="1" s="1"/>
  <c r="D54" i="1"/>
  <c r="D60" i="1" s="1"/>
  <c r="D53" i="1"/>
  <c r="D59" i="1" s="1"/>
  <c r="D52" i="1"/>
  <c r="D58" i="1" s="1"/>
  <c r="D51" i="1"/>
  <c r="D57" i="1" s="1"/>
  <c r="S50" i="1"/>
  <c r="S47" i="1" s="1"/>
  <c r="R50" i="1"/>
  <c r="R47" i="1" s="1"/>
  <c r="Q50" i="1"/>
  <c r="P50" i="1"/>
  <c r="P47" i="1" s="1"/>
  <c r="O50" i="1"/>
  <c r="O47" i="1" s="1"/>
  <c r="N50" i="1"/>
  <c r="N47" i="1" s="1"/>
  <c r="M50" i="1"/>
  <c r="M47" i="1" s="1"/>
  <c r="L50" i="1"/>
  <c r="L47" i="1" s="1"/>
  <c r="K50" i="1"/>
  <c r="K47" i="1" s="1"/>
  <c r="J50" i="1"/>
  <c r="J47" i="1" s="1"/>
  <c r="I50" i="1"/>
  <c r="H50" i="1"/>
  <c r="G50" i="1"/>
  <c r="G47" i="1" s="1"/>
  <c r="F50" i="1"/>
  <c r="E50" i="1"/>
  <c r="D50" i="1"/>
  <c r="I49" i="1"/>
  <c r="D49" i="1"/>
  <c r="Q48" i="1"/>
  <c r="O48" i="1"/>
  <c r="N48" i="1"/>
  <c r="M48" i="1"/>
  <c r="L48" i="1"/>
  <c r="K48" i="1"/>
  <c r="J48" i="1"/>
  <c r="I48" i="1"/>
  <c r="H48" i="1"/>
  <c r="E48" i="1"/>
  <c r="D48" i="1"/>
  <c r="Q47" i="1"/>
  <c r="I47" i="1"/>
  <c r="H47" i="1"/>
  <c r="F47" i="1"/>
  <c r="E47" i="1"/>
  <c r="D47" i="1"/>
  <c r="D46" i="1"/>
  <c r="Q44" i="1"/>
  <c r="P44" i="1"/>
  <c r="M44" i="1"/>
  <c r="L44" i="1"/>
  <c r="K44" i="1"/>
  <c r="J44" i="1"/>
  <c r="I44" i="1"/>
  <c r="H44" i="1"/>
  <c r="G44" i="1"/>
  <c r="F44" i="1"/>
  <c r="E44" i="1"/>
  <c r="D44" i="1"/>
  <c r="S43" i="1"/>
  <c r="S42" i="1" s="1"/>
  <c r="R43" i="1"/>
  <c r="R42" i="1" s="1"/>
  <c r="Q43" i="1"/>
  <c r="P43" i="1"/>
  <c r="P48" i="1" s="1"/>
  <c r="O43" i="1"/>
  <c r="N43" i="1"/>
  <c r="N42" i="1" s="1"/>
  <c r="M43" i="1"/>
  <c r="L43" i="1"/>
  <c r="K43" i="1"/>
  <c r="J43" i="1"/>
  <c r="I43" i="1"/>
  <c r="H43" i="1"/>
  <c r="G43" i="1"/>
  <c r="G48" i="1" s="1"/>
  <c r="F43" i="1"/>
  <c r="F48" i="1" s="1"/>
  <c r="E43" i="1"/>
  <c r="D43" i="1"/>
  <c r="Q42" i="1"/>
  <c r="P42" i="1"/>
  <c r="O42" i="1"/>
  <c r="M42" i="1"/>
  <c r="L42" i="1"/>
  <c r="K42" i="1"/>
  <c r="J42" i="1"/>
  <c r="I42" i="1"/>
  <c r="H42" i="1"/>
  <c r="G42" i="1"/>
  <c r="F42" i="1"/>
  <c r="E42" i="1"/>
  <c r="D42" i="1"/>
  <c r="D45" i="1" s="1"/>
  <c r="D41" i="1"/>
  <c r="S25" i="1"/>
  <c r="R25" i="1"/>
  <c r="Q25" i="1"/>
  <c r="Q49" i="1" s="1"/>
  <c r="P25" i="1"/>
  <c r="P49" i="1" s="1"/>
  <c r="O25" i="1"/>
  <c r="N25" i="1"/>
  <c r="M25" i="1"/>
  <c r="L25" i="1"/>
  <c r="K25" i="1"/>
  <c r="K49" i="1" s="1"/>
  <c r="J25" i="1"/>
  <c r="J49" i="1" s="1"/>
  <c r="I25" i="1"/>
  <c r="H25" i="1"/>
  <c r="H49" i="1" s="1"/>
  <c r="G25" i="1"/>
  <c r="G49" i="1" s="1"/>
  <c r="F25" i="1"/>
  <c r="F49" i="1" s="1"/>
  <c r="E25" i="1"/>
  <c r="E49" i="1" s="1"/>
  <c r="S23" i="1"/>
  <c r="S44" i="1" s="1"/>
  <c r="R23" i="1"/>
  <c r="R44" i="1" s="1"/>
  <c r="S15" i="1"/>
  <c r="S87" i="1" s="1"/>
  <c r="R15" i="1"/>
  <c r="R87" i="1" s="1"/>
  <c r="Q15" i="1"/>
  <c r="P15" i="1"/>
  <c r="P87" i="1" s="1"/>
  <c r="O15" i="1"/>
  <c r="N15" i="1"/>
  <c r="N87" i="1" s="1"/>
  <c r="M15" i="1"/>
  <c r="M87" i="1" s="1"/>
  <c r="L15" i="1"/>
  <c r="K15" i="1"/>
  <c r="J15" i="1"/>
  <c r="J87" i="1" s="1"/>
  <c r="I15" i="1"/>
  <c r="I87" i="1" s="1"/>
  <c r="H15" i="1"/>
  <c r="H87" i="1" s="1"/>
  <c r="G15" i="1"/>
  <c r="G87" i="1" s="1"/>
  <c r="F15" i="1"/>
  <c r="F87" i="1" s="1"/>
  <c r="E15" i="1"/>
  <c r="E87" i="1" s="1"/>
  <c r="D15" i="1"/>
  <c r="D87" i="1" s="1"/>
  <c r="S13" i="1"/>
  <c r="S86" i="1" s="1"/>
  <c r="R13" i="1"/>
  <c r="R86" i="1" s="1"/>
  <c r="Q13" i="1"/>
  <c r="Q86" i="1" s="1"/>
  <c r="P13" i="1"/>
  <c r="P86" i="1" s="1"/>
  <c r="O13" i="1"/>
  <c r="N13" i="1"/>
  <c r="N86" i="1" s="1"/>
  <c r="M13" i="1"/>
  <c r="M86" i="1" s="1"/>
  <c r="L13" i="1"/>
  <c r="L86" i="1" s="1"/>
  <c r="K13" i="1"/>
  <c r="K86" i="1" s="1"/>
  <c r="J13" i="1"/>
  <c r="J86" i="1" s="1"/>
  <c r="I13" i="1"/>
  <c r="I86" i="1" s="1"/>
  <c r="H13" i="1"/>
  <c r="H86" i="1" s="1"/>
  <c r="G13" i="1"/>
  <c r="G86" i="1" s="1"/>
  <c r="F13" i="1"/>
  <c r="E13" i="1"/>
  <c r="D13" i="1"/>
  <c r="D86" i="1" s="1"/>
  <c r="S11" i="1"/>
  <c r="S85" i="1" s="1"/>
  <c r="R11" i="1"/>
  <c r="R85" i="1" s="1"/>
  <c r="Q11" i="1"/>
  <c r="P11" i="1"/>
  <c r="P85" i="1" s="1"/>
  <c r="O11" i="1"/>
  <c r="N11" i="1"/>
  <c r="N85" i="1" s="1"/>
  <c r="M11" i="1"/>
  <c r="M85" i="1" s="1"/>
  <c r="L11" i="1"/>
  <c r="K11" i="1"/>
  <c r="J11" i="1"/>
  <c r="J85" i="1" s="1"/>
  <c r="I11" i="1"/>
  <c r="I85" i="1" s="1"/>
  <c r="H11" i="1"/>
  <c r="H85" i="1" s="1"/>
  <c r="G11" i="1"/>
  <c r="G85" i="1" s="1"/>
  <c r="F11" i="1"/>
  <c r="F85" i="1" s="1"/>
  <c r="E11" i="1"/>
  <c r="E85" i="1" s="1"/>
  <c r="D11" i="1"/>
  <c r="D85" i="1" s="1"/>
  <c r="S9" i="1"/>
  <c r="S84" i="1" s="1"/>
  <c r="R9" i="1"/>
  <c r="R84" i="1" s="1"/>
  <c r="Q9" i="1"/>
  <c r="Q84" i="1" s="1"/>
  <c r="P9" i="1"/>
  <c r="P84" i="1" s="1"/>
  <c r="O9" i="1"/>
  <c r="N9" i="1"/>
  <c r="N84" i="1" s="1"/>
  <c r="M9" i="1"/>
  <c r="M84" i="1" s="1"/>
  <c r="L9" i="1"/>
  <c r="L84" i="1" s="1"/>
  <c r="K9" i="1"/>
  <c r="K84" i="1" s="1"/>
  <c r="J9" i="1"/>
  <c r="J84" i="1" s="1"/>
  <c r="I9" i="1"/>
  <c r="I84" i="1" s="1"/>
  <c r="H9" i="1"/>
  <c r="H84" i="1" s="1"/>
  <c r="G9" i="1"/>
  <c r="G84" i="1" s="1"/>
  <c r="F9" i="1"/>
  <c r="E9" i="1"/>
  <c r="D9" i="1"/>
  <c r="D84" i="1" s="1"/>
  <c r="S7" i="1"/>
  <c r="S83" i="1" s="1"/>
  <c r="R7" i="1"/>
  <c r="R83" i="1" s="1"/>
  <c r="Q7" i="1"/>
  <c r="P7" i="1"/>
  <c r="P83" i="1" s="1"/>
  <c r="O7" i="1"/>
  <c r="N7" i="1"/>
  <c r="N83" i="1" s="1"/>
  <c r="M7" i="1"/>
  <c r="M83" i="1" s="1"/>
  <c r="L7" i="1"/>
  <c r="K7" i="1"/>
  <c r="J7" i="1"/>
  <c r="J83" i="1" s="1"/>
  <c r="I7" i="1"/>
  <c r="I83" i="1" s="1"/>
  <c r="H7" i="1"/>
  <c r="H83" i="1" s="1"/>
  <c r="G7" i="1"/>
  <c r="G83" i="1" s="1"/>
  <c r="F7" i="1"/>
  <c r="F83" i="1" s="1"/>
  <c r="E7" i="1"/>
  <c r="E83" i="1" s="1"/>
  <c r="D7" i="1"/>
  <c r="D83" i="1" s="1"/>
  <c r="S5" i="1"/>
  <c r="S82" i="1" s="1"/>
  <c r="R5" i="1"/>
  <c r="R82" i="1" s="1"/>
  <c r="Q5" i="1"/>
  <c r="Q82" i="1" s="1"/>
  <c r="P5" i="1"/>
  <c r="P82" i="1" s="1"/>
  <c r="O5" i="1"/>
  <c r="N5" i="1"/>
  <c r="N82" i="1" s="1"/>
  <c r="M5" i="1"/>
  <c r="M82" i="1" s="1"/>
  <c r="L5" i="1"/>
  <c r="L82" i="1" s="1"/>
  <c r="K5" i="1"/>
  <c r="K82" i="1" s="1"/>
  <c r="J5" i="1"/>
  <c r="J82" i="1" s="1"/>
  <c r="I5" i="1"/>
  <c r="I82" i="1" s="1"/>
  <c r="H5" i="1"/>
  <c r="H82" i="1" s="1"/>
  <c r="G5" i="1"/>
  <c r="G82" i="1" s="1"/>
  <c r="F5" i="1"/>
  <c r="E5" i="1"/>
  <c r="D5" i="1"/>
  <c r="D82" i="1" s="1"/>
  <c r="S3" i="1"/>
  <c r="S62" i="1" s="1"/>
  <c r="R3" i="1"/>
  <c r="R81" i="1" s="1"/>
  <c r="Q3" i="1"/>
  <c r="Q62" i="1" s="1"/>
  <c r="Q68" i="1" s="1"/>
  <c r="P3" i="1"/>
  <c r="P81" i="1" s="1"/>
  <c r="O3" i="1"/>
  <c r="N3" i="1"/>
  <c r="N81" i="1" s="1"/>
  <c r="M3" i="1"/>
  <c r="M62" i="1" s="1"/>
  <c r="M68" i="1" s="1"/>
  <c r="L3" i="1"/>
  <c r="L62" i="1" s="1"/>
  <c r="L68" i="1" s="1"/>
  <c r="K3" i="1"/>
  <c r="J3" i="1"/>
  <c r="J81" i="1" s="1"/>
  <c r="I3" i="1"/>
  <c r="I62" i="1" s="1"/>
  <c r="I68" i="1" s="1"/>
  <c r="H3" i="1"/>
  <c r="H62" i="1" s="1"/>
  <c r="H68" i="1" s="1"/>
  <c r="G3" i="1"/>
  <c r="G62" i="1" s="1"/>
  <c r="G68" i="1" s="1"/>
  <c r="F3" i="1"/>
  <c r="F62" i="1" s="1"/>
  <c r="F68" i="1" s="1"/>
  <c r="E3" i="1"/>
  <c r="E62" i="1" s="1"/>
  <c r="E68" i="1" s="1"/>
  <c r="D3" i="1"/>
  <c r="D62" i="1" s="1"/>
  <c r="H58" i="53" l="1"/>
  <c r="F58" i="53"/>
  <c r="H59" i="53"/>
  <c r="F59" i="53"/>
  <c r="F60" i="53"/>
  <c r="H60" i="53"/>
  <c r="H61" i="53"/>
  <c r="F61" i="53"/>
  <c r="F62" i="53"/>
  <c r="H62" i="53"/>
  <c r="H63" i="53"/>
  <c r="F63" i="53"/>
  <c r="H64" i="53"/>
  <c r="F64" i="53"/>
  <c r="H65" i="53"/>
  <c r="F65" i="53"/>
  <c r="F66" i="53"/>
  <c r="E44" i="49"/>
  <c r="F43" i="49"/>
  <c r="F42" i="49"/>
  <c r="I95" i="47"/>
  <c r="F95" i="47"/>
  <c r="I96" i="47"/>
  <c r="F96" i="47"/>
  <c r="F97" i="47"/>
  <c r="I97" i="47"/>
  <c r="I99" i="47"/>
  <c r="F99" i="47"/>
  <c r="I100" i="47"/>
  <c r="F100" i="47"/>
  <c r="I101" i="47"/>
  <c r="F101" i="47"/>
  <c r="I102" i="47"/>
  <c r="F102" i="47"/>
  <c r="I103" i="47"/>
  <c r="F103" i="47"/>
  <c r="F98" i="47"/>
  <c r="L98" i="47"/>
  <c r="F48" i="45"/>
  <c r="F49" i="45"/>
  <c r="F50" i="45"/>
  <c r="F51" i="45"/>
  <c r="F41" i="45"/>
  <c r="F52" i="45"/>
  <c r="F53" i="45"/>
  <c r="F43" i="45"/>
  <c r="F54" i="45"/>
  <c r="F44" i="45"/>
  <c r="F55" i="45"/>
  <c r="F45" i="45"/>
  <c r="F56" i="45"/>
  <c r="F30" i="45"/>
  <c r="F31" i="45"/>
  <c r="F32" i="45"/>
  <c r="F33" i="45"/>
  <c r="F34" i="45"/>
  <c r="F35" i="45"/>
  <c r="F36" i="45"/>
  <c r="F37" i="45"/>
  <c r="F38" i="45"/>
  <c r="F39" i="45"/>
  <c r="H35" i="44"/>
  <c r="G35" i="44"/>
  <c r="H36" i="44"/>
  <c r="G36" i="44"/>
  <c r="H37" i="44"/>
  <c r="G37" i="44"/>
  <c r="H38" i="44"/>
  <c r="G38" i="44"/>
  <c r="H40" i="44"/>
  <c r="G40" i="44"/>
  <c r="H41" i="44"/>
  <c r="G41" i="44"/>
  <c r="H42" i="44"/>
  <c r="G42" i="44"/>
  <c r="H43" i="44"/>
  <c r="G43" i="44"/>
  <c r="H44" i="44"/>
  <c r="G44" i="44"/>
  <c r="H45" i="44"/>
  <c r="G45" i="44"/>
  <c r="G46" i="44"/>
  <c r="H46" i="44"/>
  <c r="H47" i="44"/>
  <c r="G47" i="44"/>
  <c r="H48" i="44"/>
  <c r="G48" i="44"/>
  <c r="H49" i="44"/>
  <c r="G49" i="44"/>
  <c r="H50" i="44"/>
  <c r="G50" i="44"/>
  <c r="H51" i="44"/>
  <c r="G51" i="44"/>
  <c r="G39" i="44"/>
  <c r="I39" i="42"/>
  <c r="G39" i="42"/>
  <c r="F39" i="42"/>
  <c r="I40" i="42"/>
  <c r="G40" i="42"/>
  <c r="F40" i="42"/>
  <c r="I41" i="42"/>
  <c r="G41" i="42"/>
  <c r="F41" i="42"/>
  <c r="F42" i="42"/>
  <c r="G42" i="42"/>
  <c r="I42" i="42"/>
  <c r="F43" i="42"/>
  <c r="I43" i="42"/>
  <c r="G43" i="42"/>
  <c r="I44" i="42"/>
  <c r="G44" i="42"/>
  <c r="F44" i="42"/>
  <c r="I45" i="42"/>
  <c r="G45" i="42"/>
  <c r="F45" i="42"/>
  <c r="I46" i="42"/>
  <c r="G46" i="42"/>
  <c r="F46" i="42"/>
  <c r="I47" i="42"/>
  <c r="G47" i="42"/>
  <c r="F47" i="42"/>
  <c r="I48" i="42"/>
  <c r="G48" i="42"/>
  <c r="F48" i="42"/>
  <c r="H49" i="41"/>
  <c r="F49" i="41"/>
  <c r="H50" i="41"/>
  <c r="F50" i="41"/>
  <c r="H52" i="41"/>
  <c r="F52" i="41"/>
  <c r="F53" i="41"/>
  <c r="H53" i="41"/>
  <c r="H54" i="41"/>
  <c r="F54" i="41"/>
  <c r="H55" i="41"/>
  <c r="F55" i="41"/>
  <c r="H56" i="41"/>
  <c r="F56" i="41"/>
  <c r="H57" i="41"/>
  <c r="F57" i="41"/>
  <c r="H58" i="41"/>
  <c r="F58" i="41"/>
  <c r="F51" i="41"/>
  <c r="E41" i="40"/>
  <c r="E42" i="40"/>
  <c r="E43" i="40"/>
  <c r="E44" i="40"/>
  <c r="E45" i="40"/>
  <c r="E46" i="40"/>
  <c r="E39" i="40"/>
  <c r="H92" i="39"/>
  <c r="F93" i="39"/>
  <c r="F94" i="39"/>
  <c r="F95" i="39"/>
  <c r="F90" i="39"/>
  <c r="F96" i="39"/>
  <c r="F91" i="39"/>
  <c r="B49" i="39"/>
  <c r="G62" i="38"/>
  <c r="G63" i="38"/>
  <c r="G64" i="38"/>
  <c r="G66" i="38"/>
  <c r="G67" i="38"/>
  <c r="G50" i="38"/>
  <c r="G51" i="38"/>
  <c r="G52" i="38"/>
  <c r="G53" i="38"/>
  <c r="G54" i="38"/>
  <c r="G65" i="37"/>
  <c r="I65" i="37" s="1"/>
  <c r="C40" i="37"/>
  <c r="C37" i="37"/>
  <c r="C35" i="37"/>
  <c r="C31" i="37"/>
  <c r="C38" i="37"/>
  <c r="C34" i="37"/>
  <c r="I61" i="36"/>
  <c r="J61" i="36" s="1"/>
  <c r="I74" i="36"/>
  <c r="J74" i="36" s="1"/>
  <c r="I68" i="36"/>
  <c r="J68" i="36" s="1"/>
  <c r="I62" i="36"/>
  <c r="J62" i="36" s="1"/>
  <c r="I75" i="36"/>
  <c r="J75" i="36" s="1"/>
  <c r="I69" i="36"/>
  <c r="J69" i="36" s="1"/>
  <c r="I63" i="36"/>
  <c r="J63" i="36" s="1"/>
  <c r="I76" i="36"/>
  <c r="J76" i="36" s="1"/>
  <c r="I70" i="36"/>
  <c r="J70" i="36" s="1"/>
  <c r="I64" i="36"/>
  <c r="J64" i="36" s="1"/>
  <c r="I77" i="36"/>
  <c r="J77" i="36" s="1"/>
  <c r="I71" i="36"/>
  <c r="J71" i="36" s="1"/>
  <c r="I65" i="36"/>
  <c r="J65" i="36" s="1"/>
  <c r="I78" i="36"/>
  <c r="J78" i="36" s="1"/>
  <c r="I72" i="36"/>
  <c r="J72" i="36" s="1"/>
  <c r="I66" i="36"/>
  <c r="J66" i="36" s="1"/>
  <c r="I79" i="36"/>
  <c r="J79" i="36" s="1"/>
  <c r="C31" i="36"/>
  <c r="C35" i="36"/>
  <c r="C39" i="36"/>
  <c r="C32" i="36"/>
  <c r="C36" i="36"/>
  <c r="C40" i="36"/>
  <c r="B15" i="27"/>
  <c r="I48" i="25"/>
  <c r="R8" i="20"/>
  <c r="S8" i="20" s="1"/>
  <c r="D54" i="20"/>
  <c r="E54" i="20" s="1"/>
  <c r="R9" i="20"/>
  <c r="S9" i="20" s="1"/>
  <c r="D39" i="20"/>
  <c r="E39" i="20" s="1"/>
  <c r="R10" i="20"/>
  <c r="S10" i="20" s="1"/>
  <c r="R11" i="20"/>
  <c r="S11" i="20" s="1"/>
  <c r="D25" i="20"/>
  <c r="E25" i="20" s="1"/>
  <c r="D55" i="20"/>
  <c r="E55" i="20" s="1"/>
  <c r="R12" i="20"/>
  <c r="S12" i="20" s="1"/>
  <c r="R13" i="20"/>
  <c r="S13" i="20" s="1"/>
  <c r="D26" i="20"/>
  <c r="E26" i="20" s="1"/>
  <c r="D41" i="20"/>
  <c r="E41" i="20" s="1"/>
  <c r="R14" i="20"/>
  <c r="S14" i="20" s="1"/>
  <c r="R15" i="20"/>
  <c r="S15" i="20" s="1"/>
  <c r="D27" i="20"/>
  <c r="E27" i="20" s="1"/>
  <c r="D42" i="20"/>
  <c r="E42" i="20" s="1"/>
  <c r="D57" i="20"/>
  <c r="E57" i="20" s="1"/>
  <c r="R16" i="20"/>
  <c r="S16" i="20" s="1"/>
  <c r="R17" i="20"/>
  <c r="S17" i="20" s="1"/>
  <c r="D28" i="20"/>
  <c r="E28" i="20" s="1"/>
  <c r="D43" i="20"/>
  <c r="E43" i="20" s="1"/>
  <c r="D58" i="20"/>
  <c r="E58" i="20" s="1"/>
  <c r="R18" i="20"/>
  <c r="S18" i="20" s="1"/>
  <c r="R19" i="20"/>
  <c r="S19" i="20" s="1"/>
  <c r="D29" i="20"/>
  <c r="E29" i="20" s="1"/>
  <c r="D44" i="20"/>
  <c r="E44" i="20" s="1"/>
  <c r="D59" i="20"/>
  <c r="E59" i="20" s="1"/>
  <c r="R20" i="20"/>
  <c r="S20" i="20" s="1"/>
  <c r="R21" i="20"/>
  <c r="S21" i="20" s="1"/>
  <c r="D30" i="20"/>
  <c r="E30" i="20" s="1"/>
  <c r="R23" i="20"/>
  <c r="S23" i="20" s="1"/>
  <c r="D45" i="20"/>
  <c r="E45" i="20" s="1"/>
  <c r="D46" i="20"/>
  <c r="E46" i="20" s="1"/>
  <c r="J8" i="20"/>
  <c r="K8" i="20" s="1"/>
  <c r="D60" i="20"/>
  <c r="E60" i="20" s="1"/>
  <c r="D31" i="20"/>
  <c r="E31" i="20" s="1"/>
  <c r="J9" i="20"/>
  <c r="K9" i="20" s="1"/>
  <c r="J10" i="20"/>
  <c r="K10" i="20" s="1"/>
  <c r="R22" i="20"/>
  <c r="S22" i="20" s="1"/>
  <c r="D47" i="20"/>
  <c r="E47" i="20" s="1"/>
  <c r="J11" i="20"/>
  <c r="K11" i="20" s="1"/>
  <c r="J12" i="20"/>
  <c r="K12" i="20" s="1"/>
  <c r="N8" i="20"/>
  <c r="O8" i="20" s="1"/>
  <c r="N9" i="20"/>
  <c r="O9" i="20" s="1"/>
  <c r="N10" i="20"/>
  <c r="O10" i="20" s="1"/>
  <c r="D24" i="20"/>
  <c r="E24" i="20" s="1"/>
  <c r="D32" i="20"/>
  <c r="E32" i="20" s="1"/>
  <c r="D40" i="20"/>
  <c r="E40" i="20" s="1"/>
  <c r="D48" i="20"/>
  <c r="E48" i="20" s="1"/>
  <c r="D56" i="20"/>
  <c r="E56" i="20" s="1"/>
  <c r="D35" i="21"/>
  <c r="H35" i="21" s="1"/>
  <c r="D18" i="21"/>
  <c r="D46" i="21"/>
  <c r="D27" i="21"/>
  <c r="H27" i="21" s="1"/>
  <c r="D10" i="21"/>
  <c r="D38" i="21"/>
  <c r="D19" i="21"/>
  <c r="H19" i="21" s="1"/>
  <c r="D47" i="21"/>
  <c r="H47" i="21" s="1"/>
  <c r="D30" i="21"/>
  <c r="D11" i="21"/>
  <c r="H11" i="21" s="1"/>
  <c r="D39" i="21"/>
  <c r="H39" i="21" s="1"/>
  <c r="D22" i="21"/>
  <c r="D50" i="21"/>
  <c r="D31" i="21"/>
  <c r="H31" i="21" s="1"/>
  <c r="D14" i="21"/>
  <c r="D42" i="21"/>
  <c r="D23" i="21"/>
  <c r="H23" i="21" s="1"/>
  <c r="D6" i="21"/>
  <c r="D51" i="21"/>
  <c r="H51" i="21" s="1"/>
  <c r="D34" i="21"/>
  <c r="D15" i="21"/>
  <c r="H15" i="21" s="1"/>
  <c r="D43" i="21"/>
  <c r="H43" i="21" s="1"/>
  <c r="D26" i="21"/>
  <c r="D7" i="21"/>
  <c r="H7" i="21" s="1"/>
  <c r="H53" i="21"/>
  <c r="G53" i="21"/>
  <c r="E53" i="21"/>
  <c r="E7" i="21"/>
  <c r="E11" i="21"/>
  <c r="E15" i="21"/>
  <c r="E19" i="21"/>
  <c r="E23" i="21"/>
  <c r="E35" i="21"/>
  <c r="G35" i="21"/>
  <c r="D8" i="21"/>
  <c r="D12" i="21"/>
  <c r="D16" i="21"/>
  <c r="D20" i="21"/>
  <c r="D24" i="21"/>
  <c r="D28" i="21"/>
  <c r="D32" i="21"/>
  <c r="D36" i="21"/>
  <c r="D40" i="21"/>
  <c r="D44" i="21"/>
  <c r="D48" i="21"/>
  <c r="D52" i="21"/>
  <c r="D5" i="21"/>
  <c r="D9" i="21"/>
  <c r="D13" i="21"/>
  <c r="D17" i="21"/>
  <c r="D21" i="21"/>
  <c r="D25" i="21"/>
  <c r="D29" i="21"/>
  <c r="D33" i="21"/>
  <c r="D37" i="21"/>
  <c r="D41" i="21"/>
  <c r="D45" i="21"/>
  <c r="D49" i="21"/>
  <c r="H41" i="15"/>
  <c r="Q41" i="15"/>
  <c r="Z41" i="15"/>
  <c r="C41" i="15"/>
  <c r="Q45" i="15"/>
  <c r="H49" i="15"/>
  <c r="L41" i="15"/>
  <c r="V53" i="15"/>
  <c r="Z45" i="15"/>
  <c r="C45" i="15"/>
  <c r="Q49" i="15"/>
  <c r="U41" i="15"/>
  <c r="H53" i="15"/>
  <c r="L45" i="15"/>
  <c r="V57" i="15"/>
  <c r="Z49" i="15"/>
  <c r="G41" i="15"/>
  <c r="Q53" i="15"/>
  <c r="U45" i="15"/>
  <c r="H57" i="15"/>
  <c r="L49" i="15"/>
  <c r="P41" i="15"/>
  <c r="V61" i="15"/>
  <c r="Z53" i="15"/>
  <c r="C53" i="15"/>
  <c r="G45" i="15"/>
  <c r="Q57" i="15"/>
  <c r="U49" i="15"/>
  <c r="Y41" i="15"/>
  <c r="H61" i="15"/>
  <c r="L53" i="15"/>
  <c r="P45" i="15"/>
  <c r="V65" i="15"/>
  <c r="Z57" i="15"/>
  <c r="C57" i="15"/>
  <c r="G49" i="15"/>
  <c r="K41" i="15"/>
  <c r="Q61" i="15"/>
  <c r="U53" i="15"/>
  <c r="Y45" i="15"/>
  <c r="H65" i="15"/>
  <c r="L57" i="15"/>
  <c r="P49" i="15"/>
  <c r="T41" i="15"/>
  <c r="Z61" i="15"/>
  <c r="C49" i="15"/>
  <c r="C61" i="15"/>
  <c r="G53" i="15"/>
  <c r="K45" i="15"/>
  <c r="Q65" i="15"/>
  <c r="U57" i="15"/>
  <c r="Y49" i="15"/>
  <c r="AC41" i="15"/>
  <c r="F41" i="15"/>
  <c r="L61" i="15"/>
  <c r="P53" i="15"/>
  <c r="T45" i="15"/>
  <c r="Z65" i="15"/>
  <c r="C65" i="15"/>
  <c r="G57" i="15"/>
  <c r="K49" i="15"/>
  <c r="O41" i="15"/>
  <c r="U61" i="15"/>
  <c r="Y53" i="15"/>
  <c r="AC45" i="15"/>
  <c r="F45" i="15"/>
  <c r="L65" i="15"/>
  <c r="P57" i="15"/>
  <c r="T49" i="15"/>
  <c r="G61" i="15"/>
  <c r="K53" i="15"/>
  <c r="O45" i="15"/>
  <c r="U65" i="15"/>
  <c r="Y57" i="15"/>
  <c r="AC49" i="15"/>
  <c r="F49" i="15"/>
  <c r="J41" i="15"/>
  <c r="P61" i="15"/>
  <c r="T53" i="15"/>
  <c r="G65" i="15"/>
  <c r="K57" i="15"/>
  <c r="O49" i="15"/>
  <c r="S41" i="15"/>
  <c r="Y61" i="15"/>
  <c r="AC53" i="15"/>
  <c r="F53" i="15"/>
  <c r="J45" i="15"/>
  <c r="P65" i="15"/>
  <c r="T57" i="15"/>
  <c r="X49" i="15"/>
  <c r="AB41" i="15"/>
  <c r="E41" i="15"/>
  <c r="K61" i="15"/>
  <c r="O53" i="15"/>
  <c r="Y65" i="15"/>
  <c r="AC57" i="15"/>
  <c r="F57" i="15"/>
  <c r="N41" i="15"/>
  <c r="T61" i="15"/>
  <c r="X53" i="15"/>
  <c r="AB45" i="15"/>
  <c r="E45" i="15"/>
  <c r="K65" i="15"/>
  <c r="O57" i="15"/>
  <c r="S49" i="15"/>
  <c r="W41" i="15"/>
  <c r="AC61" i="15"/>
  <c r="F61" i="15"/>
  <c r="J53" i="15"/>
  <c r="N45" i="15"/>
  <c r="T65" i="15"/>
  <c r="X57" i="15"/>
  <c r="AB49" i="15"/>
  <c r="E49" i="15"/>
  <c r="I41" i="15"/>
  <c r="O61" i="15"/>
  <c r="S53" i="15"/>
  <c r="W45" i="15"/>
  <c r="AC65" i="15"/>
  <c r="S51" i="11"/>
  <c r="S47" i="11"/>
  <c r="S43" i="11"/>
  <c r="S39" i="11"/>
  <c r="S35" i="11"/>
  <c r="S31" i="11"/>
  <c r="S22" i="11"/>
  <c r="S7" i="11" s="1"/>
  <c r="K51" i="11"/>
  <c r="K47" i="11"/>
  <c r="K43" i="11"/>
  <c r="K39" i="11"/>
  <c r="K35" i="11"/>
  <c r="K31" i="11"/>
  <c r="K22" i="11"/>
  <c r="K7" i="11" s="1"/>
  <c r="C51" i="11"/>
  <c r="C47" i="11"/>
  <c r="C43" i="11"/>
  <c r="C39" i="11"/>
  <c r="C35" i="11"/>
  <c r="C31" i="11"/>
  <c r="C22" i="11"/>
  <c r="C7" i="11" s="1"/>
  <c r="AA51" i="11"/>
  <c r="AA47" i="11"/>
  <c r="AA43" i="11"/>
  <c r="AA39" i="11"/>
  <c r="AA35" i="11"/>
  <c r="AA31" i="11"/>
  <c r="AA22" i="11"/>
  <c r="AA7" i="11" s="1"/>
  <c r="G31" i="11"/>
  <c r="O31" i="11"/>
  <c r="W31" i="11"/>
  <c r="Q8" i="11"/>
  <c r="T22" i="11"/>
  <c r="T7" i="11" s="1"/>
  <c r="Y8" i="11"/>
  <c r="G35" i="11"/>
  <c r="I9" i="11"/>
  <c r="O35" i="11"/>
  <c r="W35" i="11"/>
  <c r="D31" i="11"/>
  <c r="G39" i="11"/>
  <c r="L31" i="11"/>
  <c r="O39" i="11"/>
  <c r="T31" i="11"/>
  <c r="W39" i="11"/>
  <c r="F8" i="11"/>
  <c r="I22" i="11"/>
  <c r="I7" i="11" s="1"/>
  <c r="N8" i="11"/>
  <c r="Q22" i="11"/>
  <c r="Q7" i="11" s="1"/>
  <c r="V8" i="11"/>
  <c r="Y22" i="11"/>
  <c r="Y7" i="11" s="1"/>
  <c r="D35" i="11"/>
  <c r="G43" i="11"/>
  <c r="L35" i="11"/>
  <c r="O43" i="11"/>
  <c r="T35" i="11"/>
  <c r="W43" i="11"/>
  <c r="D22" i="11"/>
  <c r="D7" i="11" s="1"/>
  <c r="L22" i="11"/>
  <c r="L7" i="11" s="1"/>
  <c r="D39" i="11"/>
  <c r="G47" i="11"/>
  <c r="I31" i="11"/>
  <c r="L39" i="11"/>
  <c r="O47" i="11"/>
  <c r="Q31" i="11"/>
  <c r="T39" i="11"/>
  <c r="W47" i="11"/>
  <c r="Y31" i="11"/>
  <c r="C8" i="11"/>
  <c r="K8" i="11"/>
  <c r="S8" i="11"/>
  <c r="V22" i="11"/>
  <c r="V7" i="11" s="1"/>
  <c r="AA8" i="11"/>
  <c r="F22" i="11"/>
  <c r="F7" i="11" s="1"/>
  <c r="N22" i="11"/>
  <c r="N7" i="11" s="1"/>
  <c r="D43" i="11"/>
  <c r="I35" i="11"/>
  <c r="L43" i="11"/>
  <c r="Q35" i="11"/>
  <c r="T43" i="11"/>
  <c r="Y35" i="11"/>
  <c r="D47" i="11"/>
  <c r="F31" i="11"/>
  <c r="I39" i="11"/>
  <c r="L47" i="11"/>
  <c r="N31" i="11"/>
  <c r="Q39" i="11"/>
  <c r="T47" i="11"/>
  <c r="V31" i="11"/>
  <c r="Y39" i="11"/>
  <c r="F35" i="11"/>
  <c r="I43" i="11"/>
  <c r="N35" i="11"/>
  <c r="Q43" i="11"/>
  <c r="V35" i="11"/>
  <c r="Y43" i="11"/>
  <c r="F39" i="11"/>
  <c r="I47" i="11"/>
  <c r="N39" i="11"/>
  <c r="Q47" i="11"/>
  <c r="V39" i="11"/>
  <c r="Y47" i="11"/>
  <c r="H22" i="11"/>
  <c r="H7" i="11" s="1"/>
  <c r="M8" i="11"/>
  <c r="P22" i="11"/>
  <c r="P7" i="11" s="1"/>
  <c r="U8" i="11"/>
  <c r="X22" i="11"/>
  <c r="X7" i="11" s="1"/>
  <c r="E9" i="11"/>
  <c r="F43" i="11"/>
  <c r="N43" i="11"/>
  <c r="V43" i="11"/>
  <c r="F47" i="11"/>
  <c r="H31" i="11"/>
  <c r="N47" i="11"/>
  <c r="P31" i="11"/>
  <c r="V47" i="11"/>
  <c r="X31" i="11"/>
  <c r="E22" i="11"/>
  <c r="E7" i="11" s="1"/>
  <c r="J8" i="11"/>
  <c r="M22" i="11"/>
  <c r="M7" i="11" s="1"/>
  <c r="R8" i="11"/>
  <c r="U22" i="11"/>
  <c r="U7" i="11" s="1"/>
  <c r="Z8" i="11"/>
  <c r="H35" i="11"/>
  <c r="P35" i="11"/>
  <c r="X35" i="11"/>
  <c r="E31" i="11"/>
  <c r="H39" i="11"/>
  <c r="M31" i="11"/>
  <c r="P39" i="11"/>
  <c r="U31" i="11"/>
  <c r="X39" i="11"/>
  <c r="G8" i="11"/>
  <c r="O8" i="11"/>
  <c r="W8" i="11"/>
  <c r="E47" i="10"/>
  <c r="E39" i="10"/>
  <c r="E31" i="10"/>
  <c r="E43" i="10"/>
  <c r="E23" i="10"/>
  <c r="E35" i="10"/>
  <c r="E21" i="10"/>
  <c r="E7" i="10" s="1"/>
  <c r="U21" i="10"/>
  <c r="U7" i="10" s="1"/>
  <c r="U47" i="10"/>
  <c r="U43" i="10"/>
  <c r="U39" i="10"/>
  <c r="U35" i="10"/>
  <c r="U31" i="10"/>
  <c r="U23" i="10"/>
  <c r="Z23" i="10"/>
  <c r="Z47" i="10"/>
  <c r="Z43" i="10"/>
  <c r="Z39" i="10"/>
  <c r="Z35" i="10"/>
  <c r="Z31" i="10"/>
  <c r="Z21" i="10"/>
  <c r="Z7" i="10" s="1"/>
  <c r="J47" i="10"/>
  <c r="J43" i="10"/>
  <c r="J31" i="10"/>
  <c r="J39" i="10"/>
  <c r="J35" i="10"/>
  <c r="J23" i="10"/>
  <c r="J21" i="10"/>
  <c r="J7" i="10" s="1"/>
  <c r="AA47" i="10"/>
  <c r="AA43" i="10"/>
  <c r="AA39" i="10"/>
  <c r="AA35" i="10"/>
  <c r="AA31" i="10"/>
  <c r="AA23" i="10"/>
  <c r="AA21" i="10"/>
  <c r="AA7" i="10" s="1"/>
  <c r="D23" i="10"/>
  <c r="D21" i="10"/>
  <c r="D7" i="10" s="1"/>
  <c r="D35" i="10"/>
  <c r="D31" i="10"/>
  <c r="D39" i="10"/>
  <c r="D47" i="10"/>
  <c r="D43" i="10"/>
  <c r="P23" i="10"/>
  <c r="W8" i="10"/>
  <c r="K23" i="10"/>
  <c r="R8" i="10"/>
  <c r="H8" i="10"/>
  <c r="M9" i="10"/>
  <c r="P31" i="10"/>
  <c r="K31" i="10"/>
  <c r="W21" i="10"/>
  <c r="W7" i="10" s="1"/>
  <c r="P35" i="10"/>
  <c r="R21" i="10"/>
  <c r="R7" i="10" s="1"/>
  <c r="W23" i="10"/>
  <c r="R23" i="10"/>
  <c r="Y8" i="10"/>
  <c r="F35" i="10"/>
  <c r="H21" i="10"/>
  <c r="H7" i="10" s="1"/>
  <c r="M23" i="10"/>
  <c r="P39" i="10"/>
  <c r="T8" i="10"/>
  <c r="K39" i="10"/>
  <c r="O8" i="10"/>
  <c r="W31" i="10"/>
  <c r="H23" i="10"/>
  <c r="C23" i="10"/>
  <c r="P43" i="10"/>
  <c r="R31" i="10"/>
  <c r="F31" i="10"/>
  <c r="E8" i="10"/>
  <c r="J9" i="10"/>
  <c r="K43" i="10"/>
  <c r="M31" i="10"/>
  <c r="W35" i="10"/>
  <c r="Y21" i="10"/>
  <c r="Y7" i="10" s="1"/>
  <c r="F23" i="10"/>
  <c r="C8" i="10"/>
  <c r="F43" i="10"/>
  <c r="H31" i="10"/>
  <c r="R35" i="10"/>
  <c r="T21" i="10"/>
  <c r="T7" i="10" s="1"/>
  <c r="Y23" i="10"/>
  <c r="C31" i="10"/>
  <c r="K47" i="10"/>
  <c r="M35" i="10"/>
  <c r="O21" i="10"/>
  <c r="O7" i="10" s="1"/>
  <c r="T23" i="10"/>
  <c r="W39" i="10"/>
  <c r="AA8" i="10"/>
  <c r="C21" i="10"/>
  <c r="C7" i="10" s="1"/>
  <c r="F47" i="10"/>
  <c r="H35" i="10"/>
  <c r="O23" i="10"/>
  <c r="R39" i="10"/>
  <c r="V8" i="10"/>
  <c r="F39" i="10"/>
  <c r="C35" i="10"/>
  <c r="M39" i="10"/>
  <c r="W43" i="10"/>
  <c r="Y31" i="10"/>
  <c r="R43" i="10"/>
  <c r="Y35" i="10"/>
  <c r="K21" i="10"/>
  <c r="K7" i="10" s="1"/>
  <c r="H39" i="10"/>
  <c r="V23" i="10"/>
  <c r="Y39" i="10"/>
  <c r="H47" i="10"/>
  <c r="L21" i="10"/>
  <c r="L7" i="10" s="1"/>
  <c r="Q23" i="10"/>
  <c r="T39" i="10"/>
  <c r="X8" i="10"/>
  <c r="M21" i="10"/>
  <c r="M7" i="10" s="1"/>
  <c r="C47" i="10"/>
  <c r="G21" i="10"/>
  <c r="G7" i="10" s="1"/>
  <c r="L23" i="10"/>
  <c r="O39" i="10"/>
  <c r="S8" i="10"/>
  <c r="Y43" i="10"/>
  <c r="G23" i="10"/>
  <c r="T43" i="10"/>
  <c r="V31" i="10"/>
  <c r="O43" i="10"/>
  <c r="Q31" i="10"/>
  <c r="D8" i="10"/>
  <c r="L31" i="10"/>
  <c r="T47" i="10"/>
  <c r="V35" i="10"/>
  <c r="X21" i="10"/>
  <c r="X7" i="10" s="1"/>
  <c r="C39" i="10"/>
  <c r="G31" i="10"/>
  <c r="O47" i="10"/>
  <c r="Q35" i="10"/>
  <c r="S21" i="10"/>
  <c r="S7" i="10" s="1"/>
  <c r="X23" i="10"/>
  <c r="L35" i="10"/>
  <c r="N21" i="10"/>
  <c r="N7" i="10" s="1"/>
  <c r="S23" i="10"/>
  <c r="V39" i="10"/>
  <c r="Z8" i="10"/>
  <c r="M47" i="10"/>
  <c r="G35" i="10"/>
  <c r="I21" i="10"/>
  <c r="I7" i="10" s="1"/>
  <c r="Q39" i="10"/>
  <c r="U8" i="10"/>
  <c r="V21" i="10"/>
  <c r="V7" i="10" s="1"/>
  <c r="P8" i="10"/>
  <c r="Q21" i="10"/>
  <c r="Q7" i="10" s="1"/>
  <c r="Q49" i="9"/>
  <c r="Q29" i="9"/>
  <c r="Q20" i="9"/>
  <c r="Q7" i="9" s="1"/>
  <c r="Q33" i="9"/>
  <c r="Q41" i="9"/>
  <c r="Q45" i="9"/>
  <c r="Q37" i="9"/>
  <c r="Y49" i="9"/>
  <c r="Y37" i="9"/>
  <c r="Y20" i="9"/>
  <c r="Y7" i="9" s="1"/>
  <c r="Y33" i="9"/>
  <c r="Y29" i="9"/>
  <c r="Y45" i="9"/>
  <c r="Y41" i="9"/>
  <c r="W45" i="9"/>
  <c r="W49" i="9"/>
  <c r="W37" i="9"/>
  <c r="W33" i="9"/>
  <c r="W29" i="9"/>
  <c r="W41" i="9"/>
  <c r="W20" i="9"/>
  <c r="W7" i="9" s="1"/>
  <c r="Z20" i="9"/>
  <c r="Z7" i="9" s="1"/>
  <c r="Z49" i="9"/>
  <c r="Z45" i="9"/>
  <c r="Z41" i="9"/>
  <c r="Z37" i="9"/>
  <c r="Z33" i="9"/>
  <c r="Z29" i="9"/>
  <c r="L33" i="9"/>
  <c r="L29" i="9"/>
  <c r="L20" i="9"/>
  <c r="L7" i="9" s="1"/>
  <c r="L45" i="9"/>
  <c r="L37" i="9"/>
  <c r="L41" i="9"/>
  <c r="L49" i="9"/>
  <c r="I49" i="9"/>
  <c r="I41" i="9"/>
  <c r="I45" i="9"/>
  <c r="I37" i="9"/>
  <c r="I20" i="9"/>
  <c r="I7" i="9" s="1"/>
  <c r="I33" i="9"/>
  <c r="I29" i="9"/>
  <c r="R20" i="9"/>
  <c r="R7" i="9" s="1"/>
  <c r="R49" i="9"/>
  <c r="R45" i="9"/>
  <c r="R41" i="9"/>
  <c r="R37" i="9"/>
  <c r="R33" i="9"/>
  <c r="R29" i="9"/>
  <c r="D49" i="9"/>
  <c r="D33" i="9"/>
  <c r="D20" i="9"/>
  <c r="D7" i="9" s="1"/>
  <c r="D37" i="9"/>
  <c r="D41" i="9"/>
  <c r="D45" i="9"/>
  <c r="D29" i="9"/>
  <c r="J20" i="9"/>
  <c r="J7" i="9" s="1"/>
  <c r="J49" i="9"/>
  <c r="J45" i="9"/>
  <c r="J41" i="9"/>
  <c r="J37" i="9"/>
  <c r="J33" i="9"/>
  <c r="J29" i="9"/>
  <c r="G45" i="9"/>
  <c r="G33" i="9"/>
  <c r="G29" i="9"/>
  <c r="G49" i="9"/>
  <c r="G41" i="9"/>
  <c r="G20" i="9"/>
  <c r="G7" i="9" s="1"/>
  <c r="G37" i="9"/>
  <c r="T45" i="9"/>
  <c r="T41" i="9"/>
  <c r="T37" i="9"/>
  <c r="T20" i="9"/>
  <c r="T7" i="9" s="1"/>
  <c r="T29" i="9"/>
  <c r="T49" i="9"/>
  <c r="T33" i="9"/>
  <c r="O41" i="9"/>
  <c r="O37" i="9"/>
  <c r="O33" i="9"/>
  <c r="O29" i="9"/>
  <c r="O49" i="9"/>
  <c r="O20" i="9"/>
  <c r="O7" i="9" s="1"/>
  <c r="O45" i="9"/>
  <c r="AA20" i="9"/>
  <c r="AA7" i="9" s="1"/>
  <c r="N33" i="9"/>
  <c r="N37" i="9"/>
  <c r="V37" i="9"/>
  <c r="N41" i="9"/>
  <c r="C29" i="9"/>
  <c r="K29" i="9"/>
  <c r="U20" i="9"/>
  <c r="U7" i="9" s="1"/>
  <c r="H37" i="9"/>
  <c r="P37" i="9"/>
  <c r="X37" i="9"/>
  <c r="V20" i="9"/>
  <c r="V7" i="9" s="1"/>
  <c r="D8" i="9"/>
  <c r="H41" i="9"/>
  <c r="L8" i="9"/>
  <c r="P41" i="9"/>
  <c r="T8" i="9"/>
  <c r="X41" i="9"/>
  <c r="E29" i="9"/>
  <c r="H45" i="9"/>
  <c r="M29" i="9"/>
  <c r="P45" i="9"/>
  <c r="X45" i="9"/>
  <c r="H49" i="9"/>
  <c r="P49" i="9"/>
  <c r="X49" i="9"/>
  <c r="C20" i="9"/>
  <c r="C7" i="9" s="1"/>
  <c r="I8" i="9"/>
  <c r="Q8" i="9"/>
  <c r="Y8" i="9"/>
  <c r="N20" i="9"/>
  <c r="N7" i="9" s="1"/>
  <c r="F8" i="9"/>
  <c r="N8" i="9"/>
  <c r="V8" i="9"/>
  <c r="H20" i="9"/>
  <c r="H7" i="9" s="1"/>
  <c r="F41" i="9"/>
  <c r="AA29" i="9"/>
  <c r="F49" i="9"/>
  <c r="C37" i="9"/>
  <c r="K37" i="9"/>
  <c r="S37" i="9"/>
  <c r="AA37" i="9"/>
  <c r="F29" i="9"/>
  <c r="P20" i="9"/>
  <c r="P7" i="9" s="1"/>
  <c r="V29" i="9"/>
  <c r="F33" i="9"/>
  <c r="F45" i="9"/>
  <c r="N45" i="9"/>
  <c r="C33" i="9"/>
  <c r="N49" i="9"/>
  <c r="V49" i="9"/>
  <c r="C41" i="9"/>
  <c r="G8" i="9"/>
  <c r="K41" i="9"/>
  <c r="O8" i="9"/>
  <c r="S41" i="9"/>
  <c r="W8" i="9"/>
  <c r="AA41" i="9"/>
  <c r="F20" i="9"/>
  <c r="F7" i="9" s="1"/>
  <c r="K20" i="9"/>
  <c r="K7" i="9" s="1"/>
  <c r="S20" i="9"/>
  <c r="S7" i="9" s="1"/>
  <c r="X20" i="9"/>
  <c r="X7" i="9" s="1"/>
  <c r="V33" i="9"/>
  <c r="S29" i="9"/>
  <c r="V45" i="9"/>
  <c r="K33" i="9"/>
  <c r="AA33" i="9"/>
  <c r="C45" i="9"/>
  <c r="H29" i="9"/>
  <c r="K45" i="9"/>
  <c r="P29" i="9"/>
  <c r="S45" i="9"/>
  <c r="X29" i="9"/>
  <c r="AA45" i="9"/>
  <c r="S33" i="9"/>
  <c r="G56" i="1"/>
  <c r="G54" i="1"/>
  <c r="G52" i="1"/>
  <c r="G69" i="1"/>
  <c r="G41" i="1"/>
  <c r="G66" i="1"/>
  <c r="G55" i="1"/>
  <c r="G61" i="1" s="1"/>
  <c r="G53" i="1"/>
  <c r="G59" i="1" s="1"/>
  <c r="G51" i="1"/>
  <c r="G57" i="1" s="1"/>
  <c r="G71" i="1"/>
  <c r="C82" i="7"/>
  <c r="R71" i="1"/>
  <c r="R52" i="1"/>
  <c r="R54" i="1"/>
  <c r="R66" i="1"/>
  <c r="R55" i="1"/>
  <c r="R53" i="1"/>
  <c r="R59" i="1" s="1"/>
  <c r="R51" i="1"/>
  <c r="R57" i="1" s="1"/>
  <c r="R41" i="1"/>
  <c r="R56" i="1"/>
  <c r="R69" i="1"/>
  <c r="F56" i="1"/>
  <c r="F54" i="1"/>
  <c r="F60" i="1" s="1"/>
  <c r="F52" i="1"/>
  <c r="F58" i="1" s="1"/>
  <c r="F69" i="1"/>
  <c r="F41" i="1"/>
  <c r="F71" i="1"/>
  <c r="F66" i="1"/>
  <c r="F67" i="1" s="1"/>
  <c r="F55" i="1"/>
  <c r="F53" i="1"/>
  <c r="F51" i="1"/>
  <c r="L56" i="1"/>
  <c r="L54" i="1"/>
  <c r="L52" i="1"/>
  <c r="L41" i="1"/>
  <c r="L66" i="1"/>
  <c r="L55" i="1"/>
  <c r="L61" i="1" s="1"/>
  <c r="L53" i="1"/>
  <c r="L59" i="1" s="1"/>
  <c r="L51" i="1"/>
  <c r="L57" i="1" s="1"/>
  <c r="L71" i="1"/>
  <c r="L69" i="1"/>
  <c r="I8" i="7"/>
  <c r="I9" i="7" s="1"/>
  <c r="I10" i="7" s="1"/>
  <c r="I11" i="7" s="1"/>
  <c r="I12" i="7" s="1"/>
  <c r="I13" i="7" s="1"/>
  <c r="I14" i="7" s="1"/>
  <c r="I15" i="7" s="1"/>
  <c r="I16" i="7" s="1"/>
  <c r="I17" i="7" s="1"/>
  <c r="I18" i="7" s="1"/>
  <c r="I19" i="7" s="1"/>
  <c r="I20" i="7" s="1"/>
  <c r="I21" i="7" s="1"/>
  <c r="I22" i="7" s="1"/>
  <c r="I23" i="7" s="1"/>
  <c r="I24" i="7" s="1"/>
  <c r="I25" i="7" s="1"/>
  <c r="I26" i="7" s="1"/>
  <c r="B27" i="7" s="1"/>
  <c r="H8" i="7"/>
  <c r="H9" i="7" s="1"/>
  <c r="H10" i="7" s="1"/>
  <c r="H56" i="1"/>
  <c r="H54" i="1"/>
  <c r="H52" i="1"/>
  <c r="H58" i="1" s="1"/>
  <c r="H69" i="1"/>
  <c r="H41" i="1"/>
  <c r="H53" i="1"/>
  <c r="H59" i="1" s="1"/>
  <c r="H66" i="1"/>
  <c r="H67" i="1" s="1"/>
  <c r="H55" i="1"/>
  <c r="H61" i="1" s="1"/>
  <c r="H51" i="1"/>
  <c r="H71" i="1"/>
  <c r="Q41" i="1"/>
  <c r="Q53" i="1"/>
  <c r="Q59" i="1" s="1"/>
  <c r="Q69" i="1"/>
  <c r="Q51" i="1"/>
  <c r="Q57" i="1" s="1"/>
  <c r="Q66" i="1"/>
  <c r="Q67" i="1" s="1"/>
  <c r="Q55" i="1"/>
  <c r="Q71" i="1"/>
  <c r="Q56" i="1"/>
  <c r="Q54" i="1"/>
  <c r="Q60" i="1" s="1"/>
  <c r="Q52" i="1"/>
  <c r="S68" i="1"/>
  <c r="J69" i="1"/>
  <c r="J41" i="1"/>
  <c r="J51" i="1"/>
  <c r="J56" i="1"/>
  <c r="J66" i="1"/>
  <c r="J53" i="1"/>
  <c r="J55" i="1"/>
  <c r="J61" i="1" s="1"/>
  <c r="J71" i="1"/>
  <c r="J52" i="1"/>
  <c r="J58" i="1" s="1"/>
  <c r="J54" i="1"/>
  <c r="J60" i="1" s="1"/>
  <c r="E71" i="1"/>
  <c r="E56" i="1"/>
  <c r="E54" i="1"/>
  <c r="E52" i="1"/>
  <c r="E69" i="1"/>
  <c r="E53" i="1"/>
  <c r="E59" i="1" s="1"/>
  <c r="D69" i="1"/>
  <c r="E55" i="1"/>
  <c r="E61" i="1" s="1"/>
  <c r="E41" i="1"/>
  <c r="E51" i="1"/>
  <c r="E57" i="1" s="1"/>
  <c r="E66" i="1"/>
  <c r="I56" i="1"/>
  <c r="I54" i="1"/>
  <c r="I60" i="1" s="1"/>
  <c r="I52" i="1"/>
  <c r="I58" i="1" s="1"/>
  <c r="I69" i="1"/>
  <c r="I41" i="1"/>
  <c r="I66" i="1"/>
  <c r="I55" i="1"/>
  <c r="I53" i="1"/>
  <c r="I51" i="1"/>
  <c r="I71" i="1"/>
  <c r="M56" i="1"/>
  <c r="M54" i="1"/>
  <c r="M52" i="1"/>
  <c r="M69" i="1"/>
  <c r="M66" i="1"/>
  <c r="M41" i="1"/>
  <c r="M55" i="1"/>
  <c r="M61" i="1" s="1"/>
  <c r="M53" i="1"/>
  <c r="M59" i="1" s="1"/>
  <c r="M51" i="1"/>
  <c r="M57" i="1" s="1"/>
  <c r="M71" i="1"/>
  <c r="K56" i="1"/>
  <c r="K41" i="1"/>
  <c r="K52" i="1"/>
  <c r="K58" i="1" s="1"/>
  <c r="K54" i="1"/>
  <c r="K66" i="1"/>
  <c r="K67" i="1" s="1"/>
  <c r="K55" i="1"/>
  <c r="K53" i="1"/>
  <c r="K59" i="1" s="1"/>
  <c r="K51" i="1"/>
  <c r="K57" i="1" s="1"/>
  <c r="K71" i="1"/>
  <c r="K69" i="1"/>
  <c r="P69" i="1"/>
  <c r="P41" i="1"/>
  <c r="P54" i="1"/>
  <c r="O69" i="1"/>
  <c r="P66" i="1"/>
  <c r="P51" i="1"/>
  <c r="P57" i="1" s="1"/>
  <c r="P55" i="1"/>
  <c r="P61" i="1" s="1"/>
  <c r="P53" i="1"/>
  <c r="P71" i="1"/>
  <c r="P56" i="1"/>
  <c r="P52" i="1"/>
  <c r="P58" i="1" s="1"/>
  <c r="N69" i="1"/>
  <c r="N54" i="1"/>
  <c r="N41" i="1"/>
  <c r="N53" i="1"/>
  <c r="N59" i="1" s="1"/>
  <c r="N56" i="1"/>
  <c r="N52" i="1"/>
  <c r="N58" i="1" s="1"/>
  <c r="N51" i="1"/>
  <c r="N57" i="1" s="1"/>
  <c r="N55" i="1"/>
  <c r="N61" i="1" s="1"/>
  <c r="N66" i="1"/>
  <c r="N67" i="1" s="1"/>
  <c r="N71" i="1"/>
  <c r="D72" i="7"/>
  <c r="Z6" i="2"/>
  <c r="F33" i="7"/>
  <c r="G33" i="7" s="1"/>
  <c r="D61" i="7"/>
  <c r="C78" i="7"/>
  <c r="S81" i="1"/>
  <c r="E61" i="7"/>
  <c r="D78" i="7"/>
  <c r="AB6" i="2"/>
  <c r="AB7" i="2"/>
  <c r="F61" i="7"/>
  <c r="E78" i="7"/>
  <c r="G61" i="7"/>
  <c r="F78" i="7"/>
  <c r="G78" i="7"/>
  <c r="AE6" i="2"/>
  <c r="B79" i="7"/>
  <c r="AF6" i="2"/>
  <c r="C79" i="7"/>
  <c r="AC6" i="2"/>
  <c r="D79" i="7"/>
  <c r="S48" i="1"/>
  <c r="AH6" i="2"/>
  <c r="E79" i="7"/>
  <c r="AC7" i="2"/>
  <c r="C6" i="2"/>
  <c r="F79" i="7"/>
  <c r="D6" i="2"/>
  <c r="E53" i="7"/>
  <c r="G79" i="7"/>
  <c r="R48" i="1"/>
  <c r="E6" i="2"/>
  <c r="G6" i="2"/>
  <c r="O51" i="1"/>
  <c r="O57" i="1" s="1"/>
  <c r="O53" i="1"/>
  <c r="O59" i="1" s="1"/>
  <c r="O55" i="1"/>
  <c r="O61" i="1" s="1"/>
  <c r="H6" i="2"/>
  <c r="C55" i="7"/>
  <c r="K6" i="2"/>
  <c r="D81" i="1"/>
  <c r="L6" i="2"/>
  <c r="O66" i="1"/>
  <c r="E81" i="1"/>
  <c r="M6" i="2"/>
  <c r="O71" i="1"/>
  <c r="F81" i="1"/>
  <c r="N6" i="2"/>
  <c r="G81" i="1"/>
  <c r="O6" i="2"/>
  <c r="O41" i="1"/>
  <c r="H81" i="1"/>
  <c r="P6" i="2"/>
  <c r="I81" i="1"/>
  <c r="Q6" i="2"/>
  <c r="B77" i="7"/>
  <c r="B81" i="7" s="1"/>
  <c r="C77" i="7"/>
  <c r="C81" i="7" s="1"/>
  <c r="M81" i="1"/>
  <c r="D77" i="7"/>
  <c r="H11" i="7"/>
  <c r="H12" i="7" s="1"/>
  <c r="H13" i="7" s="1"/>
  <c r="H14" i="7" s="1"/>
  <c r="H15" i="7" s="1"/>
  <c r="H16" i="7" s="1"/>
  <c r="H17" i="7" s="1"/>
  <c r="H18" i="7" s="1"/>
  <c r="H19" i="7" s="1"/>
  <c r="H20" i="7" s="1"/>
  <c r="H21" i="7" s="1"/>
  <c r="H22" i="7" s="1"/>
  <c r="H23" i="7" s="1"/>
  <c r="H24" i="7" s="1"/>
  <c r="H25" i="7" s="1"/>
  <c r="H26" i="7" s="1"/>
  <c r="B20" i="7" s="1"/>
  <c r="E77" i="7"/>
  <c r="F77" i="7"/>
  <c r="O52" i="1"/>
  <c r="O54" i="1"/>
  <c r="B61" i="7"/>
  <c r="G77" i="7"/>
  <c r="B78" i="7"/>
  <c r="E45" i="49" l="1"/>
  <c r="F44" i="49"/>
  <c r="H91" i="39"/>
  <c r="I91" i="39"/>
  <c r="I96" i="39"/>
  <c r="H96" i="39"/>
  <c r="I90" i="39"/>
  <c r="H90" i="39"/>
  <c r="I95" i="39"/>
  <c r="H95" i="39"/>
  <c r="I94" i="39"/>
  <c r="H94" i="39"/>
  <c r="I93" i="39"/>
  <c r="H93" i="39"/>
  <c r="G47" i="21"/>
  <c r="G27" i="21"/>
  <c r="G51" i="21"/>
  <c r="G31" i="21"/>
  <c r="G19" i="21"/>
  <c r="G39" i="21"/>
  <c r="E27" i="21"/>
  <c r="H6" i="21"/>
  <c r="G6" i="21"/>
  <c r="E6" i="21"/>
  <c r="G43" i="21"/>
  <c r="H42" i="21"/>
  <c r="G42" i="21"/>
  <c r="E42" i="21"/>
  <c r="H14" i="21"/>
  <c r="G14" i="21"/>
  <c r="E14" i="21"/>
  <c r="H50" i="21"/>
  <c r="G50" i="21"/>
  <c r="E50" i="21"/>
  <c r="H22" i="21"/>
  <c r="G22" i="21"/>
  <c r="E22" i="21"/>
  <c r="E26" i="21"/>
  <c r="H26" i="21"/>
  <c r="G26" i="21"/>
  <c r="G15" i="21"/>
  <c r="G11" i="21"/>
  <c r="H30" i="21"/>
  <c r="G30" i="21"/>
  <c r="E30" i="21"/>
  <c r="G7" i="21"/>
  <c r="H34" i="21"/>
  <c r="G34" i="21"/>
  <c r="E34" i="21"/>
  <c r="G23" i="21"/>
  <c r="E51" i="21"/>
  <c r="E47" i="21"/>
  <c r="H38" i="21"/>
  <c r="G38" i="21"/>
  <c r="E38" i="21"/>
  <c r="G10" i="21"/>
  <c r="H10" i="21"/>
  <c r="E10" i="21"/>
  <c r="E39" i="21"/>
  <c r="H46" i="21"/>
  <c r="G46" i="21"/>
  <c r="E46" i="21"/>
  <c r="E43" i="21"/>
  <c r="E31" i="21"/>
  <c r="H18" i="21"/>
  <c r="G18" i="21"/>
  <c r="E18" i="21"/>
  <c r="H12" i="21"/>
  <c r="G12" i="21"/>
  <c r="E12" i="21"/>
  <c r="H49" i="21"/>
  <c r="G49" i="21"/>
  <c r="E49" i="21"/>
  <c r="H45" i="21"/>
  <c r="G45" i="21"/>
  <c r="E45" i="21"/>
  <c r="H41" i="21"/>
  <c r="G41" i="21"/>
  <c r="E41" i="21"/>
  <c r="H37" i="21"/>
  <c r="G37" i="21"/>
  <c r="E37" i="21"/>
  <c r="H33" i="21"/>
  <c r="G33" i="21"/>
  <c r="E33" i="21"/>
  <c r="H29" i="21"/>
  <c r="G29" i="21"/>
  <c r="E29" i="21"/>
  <c r="H25" i="21"/>
  <c r="G25" i="21"/>
  <c r="E25" i="21"/>
  <c r="H21" i="21"/>
  <c r="G21" i="21"/>
  <c r="E21" i="21"/>
  <c r="H17" i="21"/>
  <c r="G17" i="21"/>
  <c r="E17" i="21"/>
  <c r="H13" i="21"/>
  <c r="G13" i="21"/>
  <c r="E13" i="21"/>
  <c r="H24" i="21"/>
  <c r="G24" i="21"/>
  <c r="E24" i="21"/>
  <c r="H9" i="21"/>
  <c r="G9" i="21"/>
  <c r="E9" i="21"/>
  <c r="H5" i="21"/>
  <c r="G5" i="21"/>
  <c r="E5" i="21"/>
  <c r="H8" i="21"/>
  <c r="G8" i="21"/>
  <c r="E8" i="21"/>
  <c r="H52" i="21"/>
  <c r="G52" i="21"/>
  <c r="E52" i="21"/>
  <c r="H16" i="21"/>
  <c r="G16" i="21"/>
  <c r="E16" i="21"/>
  <c r="H44" i="21"/>
  <c r="G44" i="21"/>
  <c r="E44" i="21"/>
  <c r="H40" i="21"/>
  <c r="G40" i="21"/>
  <c r="E40" i="21"/>
  <c r="H36" i="21"/>
  <c r="G36" i="21"/>
  <c r="E36" i="21"/>
  <c r="H20" i="21"/>
  <c r="G20" i="21"/>
  <c r="E20" i="21"/>
  <c r="H32" i="21"/>
  <c r="G32" i="21"/>
  <c r="E32" i="21"/>
  <c r="H48" i="21"/>
  <c r="G48" i="21"/>
  <c r="E48" i="21"/>
  <c r="H28" i="21"/>
  <c r="G28" i="21"/>
  <c r="E28" i="21"/>
  <c r="D33" i="7"/>
  <c r="C33" i="7"/>
  <c r="H33" i="7"/>
  <c r="F35" i="7" s="1"/>
  <c r="F27" i="7"/>
  <c r="E27" i="7"/>
  <c r="C27" i="7" s="1"/>
  <c r="D27" i="7" s="1"/>
  <c r="F29" i="7" s="1"/>
  <c r="G25" i="7"/>
  <c r="C29" i="7" s="1"/>
  <c r="G18" i="7"/>
  <c r="C22" i="7" s="1"/>
  <c r="F20" i="7"/>
  <c r="E20" i="7"/>
  <c r="C20" i="7" s="1"/>
  <c r="D20" i="7" s="1"/>
  <c r="F22" i="7" s="1"/>
  <c r="D15" i="7"/>
  <c r="I46" i="1"/>
  <c r="I45" i="1"/>
  <c r="F82" i="7"/>
  <c r="F46" i="1"/>
  <c r="F45" i="1"/>
  <c r="P60" i="1"/>
  <c r="Q45" i="1"/>
  <c r="Q46" i="1"/>
  <c r="H57" i="1"/>
  <c r="E45" i="1"/>
  <c r="E46" i="1"/>
  <c r="G55" i="7"/>
  <c r="F55" i="7"/>
  <c r="E55" i="7"/>
  <c r="F53" i="7" s="1"/>
  <c r="H45" i="1"/>
  <c r="H46" i="1"/>
  <c r="R45" i="1"/>
  <c r="R46" i="1"/>
  <c r="D81" i="7"/>
  <c r="P45" i="1"/>
  <c r="P46" i="1"/>
  <c r="K60" i="1"/>
  <c r="E60" i="1"/>
  <c r="H60" i="1"/>
  <c r="R61" i="1"/>
  <c r="R60" i="1"/>
  <c r="R58" i="1"/>
  <c r="K45" i="1"/>
  <c r="K46" i="1"/>
  <c r="E67" i="1"/>
  <c r="K61" i="1"/>
  <c r="E58" i="1"/>
  <c r="O45" i="1"/>
  <c r="O46" i="1"/>
  <c r="C84" i="7"/>
  <c r="C87" i="7" s="1"/>
  <c r="C88" i="7" s="1"/>
  <c r="D67" i="1"/>
  <c r="M46" i="1"/>
  <c r="M45" i="1"/>
  <c r="M67" i="1"/>
  <c r="J59" i="1"/>
  <c r="O67" i="1"/>
  <c r="J57" i="1"/>
  <c r="X24" i="2"/>
  <c r="AA24" i="2" s="1"/>
  <c r="M58" i="1"/>
  <c r="J45" i="1"/>
  <c r="J46" i="1"/>
  <c r="L67" i="1"/>
  <c r="D82" i="7"/>
  <c r="X25" i="2"/>
  <c r="AA25" i="2" s="1"/>
  <c r="N46" i="1"/>
  <c r="N45" i="1"/>
  <c r="M60" i="1"/>
  <c r="L45" i="1"/>
  <c r="L46" i="1"/>
  <c r="C83" i="7"/>
  <c r="G81" i="7"/>
  <c r="B82" i="7"/>
  <c r="N60" i="1"/>
  <c r="S54" i="1"/>
  <c r="S66" i="1"/>
  <c r="R67" i="1" s="1"/>
  <c r="S55" i="1"/>
  <c r="S53" i="1"/>
  <c r="S59" i="1" s="1"/>
  <c r="S51" i="1"/>
  <c r="S71" i="1"/>
  <c r="S41" i="1"/>
  <c r="S56" i="1"/>
  <c r="S52" i="1"/>
  <c r="S58" i="1" s="1"/>
  <c r="S69" i="1"/>
  <c r="L58" i="1"/>
  <c r="G67" i="1"/>
  <c r="O60" i="1"/>
  <c r="Q58" i="1"/>
  <c r="L60" i="1"/>
  <c r="G46" i="1"/>
  <c r="G45" i="1"/>
  <c r="I57" i="1"/>
  <c r="P67" i="1"/>
  <c r="E82" i="7"/>
  <c r="O58" i="1"/>
  <c r="I59" i="1"/>
  <c r="F57" i="1"/>
  <c r="G58" i="1"/>
  <c r="I61" i="1"/>
  <c r="F59" i="1"/>
  <c r="G60" i="1"/>
  <c r="J67" i="1"/>
  <c r="F81" i="7"/>
  <c r="E81" i="7"/>
  <c r="G82" i="7"/>
  <c r="P59" i="1"/>
  <c r="I67" i="1"/>
  <c r="Q61" i="1"/>
  <c r="F61" i="1"/>
  <c r="E46" i="49" l="1"/>
  <c r="F45" i="49"/>
  <c r="D83" i="7"/>
  <c r="D84" i="7" s="1"/>
  <c r="S45" i="1"/>
  <c r="S46" i="1"/>
  <c r="E83" i="7"/>
  <c r="E84" i="7" s="1"/>
  <c r="S57" i="1"/>
  <c r="F83" i="7"/>
  <c r="F84" i="7" s="1"/>
  <c r="S61" i="1"/>
  <c r="S60" i="1"/>
  <c r="G83" i="7"/>
  <c r="G84" i="7" s="1"/>
  <c r="B83" i="7"/>
  <c r="B84" i="7" s="1"/>
  <c r="D22" i="7"/>
  <c r="G20" i="7"/>
  <c r="D29" i="7"/>
  <c r="G27" i="7"/>
  <c r="E47" i="49" l="1"/>
  <c r="F46" i="49"/>
  <c r="F87" i="7"/>
  <c r="F88" i="7" s="1"/>
  <c r="B86" i="7"/>
  <c r="B87" i="7"/>
  <c r="B88" i="7" s="1"/>
  <c r="C85" i="7" s="1"/>
  <c r="G85" i="7"/>
  <c r="G87" i="7"/>
  <c r="G88" i="7" s="1"/>
  <c r="E85" i="7"/>
  <c r="E87" i="7"/>
  <c r="E88" i="7" s="1"/>
  <c r="D85" i="7"/>
  <c r="D87" i="7"/>
  <c r="D88" i="7" s="1"/>
  <c r="F85" i="7" s="1"/>
  <c r="E48" i="49" l="1"/>
  <c r="F47" i="49"/>
  <c r="C86" i="7"/>
  <c r="B65" i="7"/>
  <c r="E49" i="49" l="1"/>
  <c r="F48" i="49"/>
  <c r="E86" i="7"/>
  <c r="D86" i="7"/>
  <c r="C65" i="7"/>
  <c r="C64" i="7"/>
  <c r="E50" i="49" l="1"/>
  <c r="F49" i="49"/>
  <c r="F86" i="7"/>
  <c r="D65" i="7"/>
  <c r="D64" i="7"/>
  <c r="E65" i="7"/>
  <c r="E64" i="7"/>
  <c r="E51" i="49" l="1"/>
  <c r="F51" i="49" s="1"/>
  <c r="F50" i="49"/>
  <c r="G86" i="7"/>
  <c r="F65" i="7"/>
  <c r="F64" i="7"/>
  <c r="G65" i="7" l="1"/>
  <c r="G6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E35" authorId="0" shapeId="0" xr:uid="{97F9CFA8-378F-44F3-B17B-9A49738D68AD}">
      <text>
        <r>
          <rPr>
            <b/>
            <sz val="9"/>
            <color indexed="81"/>
            <rFont val="Tahoma"/>
            <charset val="1"/>
          </rPr>
          <t>Tony Koop:</t>
        </r>
        <r>
          <rPr>
            <sz val="9"/>
            <color indexed="81"/>
            <rFont val="Tahoma"/>
            <charset val="1"/>
          </rPr>
          <t xml:space="preserve">
bag</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5" authorId="0" shapeId="0" xr:uid="{ECF005A2-641B-49F5-8D89-32B8BB135FFA}">
      <text>
        <r>
          <rPr>
            <b/>
            <sz val="9"/>
            <color indexed="81"/>
            <rFont val="Tahoma"/>
            <charset val="1"/>
          </rPr>
          <t>Tony Koop:</t>
        </r>
        <r>
          <rPr>
            <sz val="9"/>
            <color indexed="81"/>
            <rFont val="Tahoma"/>
            <charset val="1"/>
          </rPr>
          <t xml:space="preserve">
Orchestra standard = 1.5" (38mm). Kolberg International spec.</t>
        </r>
      </text>
    </comment>
    <comment ref="B6" authorId="0" shapeId="0" xr:uid="{E0D170CF-862B-410A-BBB2-2CAF0EE9A6D5}">
      <text>
        <r>
          <rPr>
            <b/>
            <sz val="9"/>
            <color indexed="81"/>
            <rFont val="Tahoma"/>
            <charset val="1"/>
          </rPr>
          <t>Tony Koop:</t>
        </r>
        <r>
          <rPr>
            <sz val="9"/>
            <color indexed="81"/>
            <rFont val="Tahoma"/>
            <charset val="1"/>
          </rPr>
          <t xml:space="preserve">
2.5mm = 0.098". Kolberg uses 2.5mm; DIY EMT ≈ 0.065"</t>
        </r>
      </text>
    </comment>
    <comment ref="B9" authorId="0" shapeId="0" xr:uid="{60D1C0AC-12A7-43F7-B85B-C0D687AB353F}">
      <text>
        <r>
          <rPr>
            <b/>
            <sz val="9"/>
            <color indexed="81"/>
            <rFont val="Tahoma"/>
            <charset val="1"/>
          </rPr>
          <t>Tony Koop:</t>
        </r>
        <r>
          <rPr>
            <sz val="9"/>
            <color indexed="81"/>
            <rFont val="Tahoma"/>
            <charset val="1"/>
          </rPr>
          <t xml:space="preserve">
Brass ≈ 110 GPa. Steel = 200 GPa.</t>
        </r>
      </text>
    </comment>
    <comment ref="B10" authorId="0" shapeId="0" xr:uid="{206FE9C7-A91A-4E77-B4AA-DB3DF729C829}">
      <text>
        <r>
          <rPr>
            <b/>
            <sz val="9"/>
            <color indexed="81"/>
            <rFont val="Tahoma"/>
            <charset val="1"/>
          </rPr>
          <t>Tony Koop:</t>
        </r>
        <r>
          <rPr>
            <sz val="9"/>
            <color indexed="81"/>
            <rFont val="Tahoma"/>
            <charset val="1"/>
          </rPr>
          <t xml:space="preserve">
Brass ≈ 8500. Steel = 7850.</t>
        </r>
      </text>
    </comment>
    <comment ref="B15" authorId="0" shapeId="0" xr:uid="{592D409A-9A6A-49AD-AA4F-41A9DFFF10E4}">
      <text>
        <r>
          <rPr>
            <b/>
            <sz val="9"/>
            <color indexed="81"/>
            <rFont val="Tahoma"/>
            <charset val="1"/>
          </rPr>
          <t>Tony Koop:</t>
        </r>
        <r>
          <rPr>
            <sz val="9"/>
            <color indexed="81"/>
            <rFont val="Tahoma"/>
            <charset val="1"/>
          </rPr>
          <t xml:space="preserve">
Subtract from theoretical length. Empirical — adjust by ear.</t>
        </r>
      </text>
    </comment>
    <comment ref="B26" authorId="0" shapeId="0" xr:uid="{296093DB-621A-441E-A0FE-454CE9990F91}">
      <text>
        <r>
          <rPr>
            <b/>
            <sz val="9"/>
            <color indexed="81"/>
            <rFont val="Tahoma"/>
            <charset val="1"/>
          </rPr>
          <t>Tony Koop:</t>
        </r>
        <r>
          <rPr>
            <sz val="9"/>
            <color indexed="81"/>
            <rFont val="Tahoma"/>
            <charset val="1"/>
          </rPr>
          <t xml:space="preserve">
Eigenvalue for free-free beam, first transverse mode</t>
        </r>
      </text>
    </comment>
    <comment ref="B30" authorId="0" shapeId="0" xr:uid="{5DD9E718-DA0E-4C83-8ED1-220EA380285A}">
      <text>
        <r>
          <rPr>
            <b/>
            <sz val="9"/>
            <color indexed="81"/>
            <rFont val="Tahoma"/>
            <charset val="1"/>
          </rPr>
          <t>Tony Koop:</t>
        </r>
        <r>
          <rPr>
            <sz val="9"/>
            <color indexed="81"/>
            <rFont val="Tahoma"/>
            <charset val="1"/>
          </rPr>
          <t xml:space="preserve">
Unit conversion: E in Pa to psi ×1/6895, ρ to lb/in³ ×0.0254³… simplified via consistent SI conversion</t>
        </r>
      </text>
    </comment>
    <comment ref="E34" authorId="0" shapeId="0" xr:uid="{1B615BBE-5AA4-4882-8090-C0F2058F7328}">
      <text>
        <r>
          <rPr>
            <b/>
            <sz val="9"/>
            <color indexed="81"/>
            <rFont val="Tahoma"/>
            <charset val="1"/>
          </rPr>
          <t>Tony Koop:</t>
        </r>
        <r>
          <rPr>
            <sz val="9"/>
            <color indexed="81"/>
            <rFont val="Tahoma"/>
            <charset val="1"/>
          </rPr>
          <t xml:space="preserve">
Free-free beam: L = √((λ²/2πf)×√(EI/ρA)), SI then /0.0254 for inches</t>
        </r>
      </text>
    </comment>
    <comment ref="F34" authorId="0" shapeId="0" xr:uid="{5174FF2A-3A5E-4427-8574-DECCB34107EE}">
      <text>
        <r>
          <rPr>
            <b/>
            <sz val="9"/>
            <color indexed="81"/>
            <rFont val="Tahoma"/>
            <charset val="1"/>
          </rPr>
          <t>Tony Koop:</t>
        </r>
        <r>
          <rPr>
            <sz val="9"/>
            <color indexed="81"/>
            <rFont val="Tahoma"/>
            <charset val="1"/>
          </rPr>
          <t xml:space="preserve">
Theoretical length + cap correction</t>
        </r>
      </text>
    </comment>
    <comment ref="H34" authorId="0" shapeId="0" xr:uid="{5D6F302E-67D8-4D3B-B3EC-EA2AF4A8873F}">
      <text>
        <r>
          <rPr>
            <b/>
            <sz val="9"/>
            <color indexed="81"/>
            <rFont val="Tahoma"/>
            <charset val="1"/>
          </rPr>
          <t>Tony Koop:</t>
        </r>
        <r>
          <rPr>
            <sz val="9"/>
            <color indexed="81"/>
            <rFont val="Tahoma"/>
            <charset val="1"/>
          </rPr>
          <t xml:space="preserve">
Node at 22.42% from each end — drill cord hole here</t>
        </r>
      </text>
    </comment>
    <comment ref="I34" authorId="0" shapeId="0" xr:uid="{63DE16A0-B926-4C52-9E70-805403C48DF4}">
      <text>
        <r>
          <rPr>
            <b/>
            <sz val="9"/>
            <color indexed="81"/>
            <rFont val="Tahoma"/>
            <charset val="1"/>
          </rPr>
          <t>Tony Koop:</t>
        </r>
        <r>
          <rPr>
            <sz val="9"/>
            <color indexed="81"/>
            <rFont val="Tahoma"/>
            <charset val="1"/>
          </rPr>
          <t xml:space="preserve">
Natural notes (white keys) in front row</t>
        </r>
      </text>
    </comment>
    <comment ref="E35" authorId="0" shapeId="0" xr:uid="{990D97C0-213F-4264-8002-42761538D8AC}">
      <text>
        <r>
          <rPr>
            <b/>
            <sz val="9"/>
            <color indexed="81"/>
            <rFont val="Tahoma"/>
            <charset val="1"/>
          </rPr>
          <t>Tony Koop:</t>
        </r>
        <r>
          <rPr>
            <sz val="9"/>
            <color indexed="81"/>
            <rFont val="Tahoma"/>
            <charset val="1"/>
          </rPr>
          <t xml:space="preserve">
Free-free beam: L = √((λ²/2πf)×√(EI/ρA)), SI then /0.0254 for inches</t>
        </r>
      </text>
    </comment>
    <comment ref="F35" authorId="0" shapeId="0" xr:uid="{2298DB5A-ABA6-450C-8911-00C336A79FA3}">
      <text>
        <r>
          <rPr>
            <b/>
            <sz val="9"/>
            <color indexed="81"/>
            <rFont val="Tahoma"/>
            <charset val="1"/>
          </rPr>
          <t>Tony Koop:</t>
        </r>
        <r>
          <rPr>
            <sz val="9"/>
            <color indexed="81"/>
            <rFont val="Tahoma"/>
            <charset val="1"/>
          </rPr>
          <t xml:space="preserve">
Theoretical length + cap correction</t>
        </r>
      </text>
    </comment>
    <comment ref="H35" authorId="0" shapeId="0" xr:uid="{8DC1DF57-F5B1-4C4E-9388-70AFCF99CD29}">
      <text>
        <r>
          <rPr>
            <b/>
            <sz val="9"/>
            <color indexed="81"/>
            <rFont val="Tahoma"/>
            <charset val="1"/>
          </rPr>
          <t>Tony Koop:</t>
        </r>
        <r>
          <rPr>
            <sz val="9"/>
            <color indexed="81"/>
            <rFont val="Tahoma"/>
            <charset val="1"/>
          </rPr>
          <t xml:space="preserve">
Node at 22.42% from each end — drill cord hole here</t>
        </r>
      </text>
    </comment>
    <comment ref="I35" authorId="0" shapeId="0" xr:uid="{B02B1677-E148-4A34-8F91-11EBCE140685}">
      <text>
        <r>
          <rPr>
            <b/>
            <sz val="9"/>
            <color indexed="81"/>
            <rFont val="Tahoma"/>
            <charset val="1"/>
          </rPr>
          <t>Tony Koop:</t>
        </r>
        <r>
          <rPr>
            <sz val="9"/>
            <color indexed="81"/>
            <rFont val="Tahoma"/>
            <charset val="1"/>
          </rPr>
          <t xml:space="preserve">
Natural notes (white keys) in front row</t>
        </r>
      </text>
    </comment>
    <comment ref="E36" authorId="0" shapeId="0" xr:uid="{71246F88-3843-4243-B12A-5CF87B070CC9}">
      <text>
        <r>
          <rPr>
            <b/>
            <sz val="9"/>
            <color indexed="81"/>
            <rFont val="Tahoma"/>
            <charset val="1"/>
          </rPr>
          <t>Tony Koop:</t>
        </r>
        <r>
          <rPr>
            <sz val="9"/>
            <color indexed="81"/>
            <rFont val="Tahoma"/>
            <charset val="1"/>
          </rPr>
          <t xml:space="preserve">
Free-free beam: L = √((λ²/2πf)×√(EI/ρA)), SI then /0.0254 for inches</t>
        </r>
      </text>
    </comment>
    <comment ref="F36" authorId="0" shapeId="0" xr:uid="{4BE27AE8-BF50-4D65-9A55-3A2B95AD8250}">
      <text>
        <r>
          <rPr>
            <b/>
            <sz val="9"/>
            <color indexed="81"/>
            <rFont val="Tahoma"/>
            <charset val="1"/>
          </rPr>
          <t>Tony Koop:</t>
        </r>
        <r>
          <rPr>
            <sz val="9"/>
            <color indexed="81"/>
            <rFont val="Tahoma"/>
            <charset val="1"/>
          </rPr>
          <t xml:space="preserve">
Theoretical length + cap correction</t>
        </r>
      </text>
    </comment>
    <comment ref="H36" authorId="0" shapeId="0" xr:uid="{5AC04B6D-117B-4619-A016-34128339AB17}">
      <text>
        <r>
          <rPr>
            <b/>
            <sz val="9"/>
            <color indexed="81"/>
            <rFont val="Tahoma"/>
            <charset val="1"/>
          </rPr>
          <t>Tony Koop:</t>
        </r>
        <r>
          <rPr>
            <sz val="9"/>
            <color indexed="81"/>
            <rFont val="Tahoma"/>
            <charset val="1"/>
          </rPr>
          <t xml:space="preserve">
Node at 22.42% from each end — drill cord hole here</t>
        </r>
      </text>
    </comment>
    <comment ref="I36" authorId="0" shapeId="0" xr:uid="{C84549CB-AD80-45A0-A9AD-DCB0697851DA}">
      <text>
        <r>
          <rPr>
            <b/>
            <sz val="9"/>
            <color indexed="81"/>
            <rFont val="Tahoma"/>
            <charset val="1"/>
          </rPr>
          <t>Tony Koop:</t>
        </r>
        <r>
          <rPr>
            <sz val="9"/>
            <color indexed="81"/>
            <rFont val="Tahoma"/>
            <charset val="1"/>
          </rPr>
          <t xml:space="preserve">
Natural notes (white keys) in front row</t>
        </r>
      </text>
    </comment>
    <comment ref="E37" authorId="0" shapeId="0" xr:uid="{6BA92A8F-7478-4F5B-96D3-CEA389C06A5D}">
      <text>
        <r>
          <rPr>
            <b/>
            <sz val="9"/>
            <color indexed="81"/>
            <rFont val="Tahoma"/>
            <charset val="1"/>
          </rPr>
          <t>Tony Koop:</t>
        </r>
        <r>
          <rPr>
            <sz val="9"/>
            <color indexed="81"/>
            <rFont val="Tahoma"/>
            <charset val="1"/>
          </rPr>
          <t xml:space="preserve">
Free-free beam: L = √((λ²/2πf)×√(EI/ρA)), SI then /0.0254 for inches</t>
        </r>
      </text>
    </comment>
    <comment ref="F37" authorId="0" shapeId="0" xr:uid="{5C554B4A-2A0A-4475-89BD-E1809B943846}">
      <text>
        <r>
          <rPr>
            <b/>
            <sz val="9"/>
            <color indexed="81"/>
            <rFont val="Tahoma"/>
            <charset val="1"/>
          </rPr>
          <t>Tony Koop:</t>
        </r>
        <r>
          <rPr>
            <sz val="9"/>
            <color indexed="81"/>
            <rFont val="Tahoma"/>
            <charset val="1"/>
          </rPr>
          <t xml:space="preserve">
Theoretical length + cap correction</t>
        </r>
      </text>
    </comment>
    <comment ref="H37" authorId="0" shapeId="0" xr:uid="{FD1EBF4C-4EA1-49CD-BB56-01038C6636F0}">
      <text>
        <r>
          <rPr>
            <b/>
            <sz val="9"/>
            <color indexed="81"/>
            <rFont val="Tahoma"/>
            <charset val="1"/>
          </rPr>
          <t>Tony Koop:</t>
        </r>
        <r>
          <rPr>
            <sz val="9"/>
            <color indexed="81"/>
            <rFont val="Tahoma"/>
            <charset val="1"/>
          </rPr>
          <t xml:space="preserve">
Node at 22.42% from each end — drill cord hole here</t>
        </r>
      </text>
    </comment>
    <comment ref="I37" authorId="0" shapeId="0" xr:uid="{9E59E31B-1435-4C23-9A74-57607B82639E}">
      <text>
        <r>
          <rPr>
            <b/>
            <sz val="9"/>
            <color indexed="81"/>
            <rFont val="Tahoma"/>
            <charset val="1"/>
          </rPr>
          <t>Tony Koop:</t>
        </r>
        <r>
          <rPr>
            <sz val="9"/>
            <color indexed="81"/>
            <rFont val="Tahoma"/>
            <charset val="1"/>
          </rPr>
          <t xml:space="preserve">
Natural notes (white keys) in front row</t>
        </r>
      </text>
    </comment>
    <comment ref="E38" authorId="0" shapeId="0" xr:uid="{3D3639DB-B4E5-4049-997A-F8B342C507DD}">
      <text>
        <r>
          <rPr>
            <b/>
            <sz val="9"/>
            <color indexed="81"/>
            <rFont val="Tahoma"/>
            <charset val="1"/>
          </rPr>
          <t>Tony Koop:</t>
        </r>
        <r>
          <rPr>
            <sz val="9"/>
            <color indexed="81"/>
            <rFont val="Tahoma"/>
            <charset val="1"/>
          </rPr>
          <t xml:space="preserve">
Free-free beam: L = √((λ²/2πf)×√(EI/ρA)), SI then /0.0254 for inches</t>
        </r>
      </text>
    </comment>
    <comment ref="F38" authorId="0" shapeId="0" xr:uid="{A4E413FA-2C8A-4242-BEA8-62F395B13374}">
      <text>
        <r>
          <rPr>
            <b/>
            <sz val="9"/>
            <color indexed="81"/>
            <rFont val="Tahoma"/>
            <charset val="1"/>
          </rPr>
          <t>Tony Koop:</t>
        </r>
        <r>
          <rPr>
            <sz val="9"/>
            <color indexed="81"/>
            <rFont val="Tahoma"/>
            <charset val="1"/>
          </rPr>
          <t xml:space="preserve">
Theoretical length + cap correction</t>
        </r>
      </text>
    </comment>
    <comment ref="H38" authorId="0" shapeId="0" xr:uid="{F4B55619-4F83-42DF-A745-113807713FAC}">
      <text>
        <r>
          <rPr>
            <b/>
            <sz val="9"/>
            <color indexed="81"/>
            <rFont val="Tahoma"/>
            <charset val="1"/>
          </rPr>
          <t>Tony Koop:</t>
        </r>
        <r>
          <rPr>
            <sz val="9"/>
            <color indexed="81"/>
            <rFont val="Tahoma"/>
            <charset val="1"/>
          </rPr>
          <t xml:space="preserve">
Node at 22.42% from each end — drill cord hole here</t>
        </r>
      </text>
    </comment>
    <comment ref="I38" authorId="0" shapeId="0" xr:uid="{7DF4D6A7-F1B2-4AA8-BFF3-D1393B07A71F}">
      <text>
        <r>
          <rPr>
            <b/>
            <sz val="9"/>
            <color indexed="81"/>
            <rFont val="Tahoma"/>
            <charset val="1"/>
          </rPr>
          <t>Tony Koop:</t>
        </r>
        <r>
          <rPr>
            <sz val="9"/>
            <color indexed="81"/>
            <rFont val="Tahoma"/>
            <charset val="1"/>
          </rPr>
          <t xml:space="preserve">
Natural notes (white keys) in front row</t>
        </r>
      </text>
    </comment>
    <comment ref="E39" authorId="0" shapeId="0" xr:uid="{CC20B25F-83F2-4DB9-B0B3-6EB3D748C4DF}">
      <text>
        <r>
          <rPr>
            <b/>
            <sz val="9"/>
            <color indexed="81"/>
            <rFont val="Tahoma"/>
            <charset val="1"/>
          </rPr>
          <t>Tony Koop:</t>
        </r>
        <r>
          <rPr>
            <sz val="9"/>
            <color indexed="81"/>
            <rFont val="Tahoma"/>
            <charset val="1"/>
          </rPr>
          <t xml:space="preserve">
Free-free beam: L = √((λ²/2πf)×√(EI/ρA)), SI then /0.0254 for inches</t>
        </r>
      </text>
    </comment>
    <comment ref="F39" authorId="0" shapeId="0" xr:uid="{8A650CF8-E8E6-4250-B9BF-DF7152834DB0}">
      <text>
        <r>
          <rPr>
            <b/>
            <sz val="9"/>
            <color indexed="81"/>
            <rFont val="Tahoma"/>
            <charset val="1"/>
          </rPr>
          <t>Tony Koop:</t>
        </r>
        <r>
          <rPr>
            <sz val="9"/>
            <color indexed="81"/>
            <rFont val="Tahoma"/>
            <charset val="1"/>
          </rPr>
          <t xml:space="preserve">
Theoretical length + cap correction</t>
        </r>
      </text>
    </comment>
    <comment ref="H39" authorId="0" shapeId="0" xr:uid="{4ADB9FD4-EF85-42FB-BB63-E85DDB567E11}">
      <text>
        <r>
          <rPr>
            <b/>
            <sz val="9"/>
            <color indexed="81"/>
            <rFont val="Tahoma"/>
            <charset val="1"/>
          </rPr>
          <t>Tony Koop:</t>
        </r>
        <r>
          <rPr>
            <sz val="9"/>
            <color indexed="81"/>
            <rFont val="Tahoma"/>
            <charset val="1"/>
          </rPr>
          <t xml:space="preserve">
Node at 22.42% from each end — drill cord hole here</t>
        </r>
      </text>
    </comment>
    <comment ref="I39" authorId="0" shapeId="0" xr:uid="{917DB817-3D2E-404A-9592-2674B79BBE98}">
      <text>
        <r>
          <rPr>
            <b/>
            <sz val="9"/>
            <color indexed="81"/>
            <rFont val="Tahoma"/>
            <charset val="1"/>
          </rPr>
          <t>Tony Koop:</t>
        </r>
        <r>
          <rPr>
            <sz val="9"/>
            <color indexed="81"/>
            <rFont val="Tahoma"/>
            <charset val="1"/>
          </rPr>
          <t xml:space="preserve">
Natural notes (white keys) in front row</t>
        </r>
      </text>
    </comment>
    <comment ref="E40" authorId="0" shapeId="0" xr:uid="{86D1CA1B-E355-4C79-9B1C-0AD6BB7CF341}">
      <text>
        <r>
          <rPr>
            <b/>
            <sz val="9"/>
            <color indexed="81"/>
            <rFont val="Tahoma"/>
            <charset val="1"/>
          </rPr>
          <t>Tony Koop:</t>
        </r>
        <r>
          <rPr>
            <sz val="9"/>
            <color indexed="81"/>
            <rFont val="Tahoma"/>
            <charset val="1"/>
          </rPr>
          <t xml:space="preserve">
Free-free beam: L = √((λ²/2πf)×√(EI/ρA)), SI then /0.0254 for inches</t>
        </r>
      </text>
    </comment>
    <comment ref="F40" authorId="0" shapeId="0" xr:uid="{1DC73210-B644-4496-A56E-BD92F31F0723}">
      <text>
        <r>
          <rPr>
            <b/>
            <sz val="9"/>
            <color indexed="81"/>
            <rFont val="Tahoma"/>
            <charset val="1"/>
          </rPr>
          <t>Tony Koop:</t>
        </r>
        <r>
          <rPr>
            <sz val="9"/>
            <color indexed="81"/>
            <rFont val="Tahoma"/>
            <charset val="1"/>
          </rPr>
          <t xml:space="preserve">
Theoretical length + cap correction</t>
        </r>
      </text>
    </comment>
    <comment ref="H40" authorId="0" shapeId="0" xr:uid="{27171258-E33C-4B36-BF71-A82F6D67CC33}">
      <text>
        <r>
          <rPr>
            <b/>
            <sz val="9"/>
            <color indexed="81"/>
            <rFont val="Tahoma"/>
            <charset val="1"/>
          </rPr>
          <t>Tony Koop:</t>
        </r>
        <r>
          <rPr>
            <sz val="9"/>
            <color indexed="81"/>
            <rFont val="Tahoma"/>
            <charset val="1"/>
          </rPr>
          <t xml:space="preserve">
Node at 22.42% from each end — drill cord hole here</t>
        </r>
      </text>
    </comment>
    <comment ref="I40" authorId="0" shapeId="0" xr:uid="{91E54FDC-B4B5-41CB-8664-9E7938B5E1A2}">
      <text>
        <r>
          <rPr>
            <b/>
            <sz val="9"/>
            <color indexed="81"/>
            <rFont val="Tahoma"/>
            <charset val="1"/>
          </rPr>
          <t>Tony Koop:</t>
        </r>
        <r>
          <rPr>
            <sz val="9"/>
            <color indexed="81"/>
            <rFont val="Tahoma"/>
            <charset val="1"/>
          </rPr>
          <t xml:space="preserve">
Natural notes (white keys) in front row</t>
        </r>
      </text>
    </comment>
    <comment ref="E41" authorId="0" shapeId="0" xr:uid="{DABF82BD-CF82-44C4-BFCD-7DD1C36418A9}">
      <text>
        <r>
          <rPr>
            <b/>
            <sz val="9"/>
            <color indexed="81"/>
            <rFont val="Tahoma"/>
            <charset val="1"/>
          </rPr>
          <t>Tony Koop:</t>
        </r>
        <r>
          <rPr>
            <sz val="9"/>
            <color indexed="81"/>
            <rFont val="Tahoma"/>
            <charset val="1"/>
          </rPr>
          <t xml:space="preserve">
Free-free beam: L = √((λ²/2πf)×√(EI/ρA)), SI then /0.0254 for inches</t>
        </r>
      </text>
    </comment>
    <comment ref="F41" authorId="0" shapeId="0" xr:uid="{ABE7F821-51B0-420E-A8CC-953900292646}">
      <text>
        <r>
          <rPr>
            <b/>
            <sz val="9"/>
            <color indexed="81"/>
            <rFont val="Tahoma"/>
            <charset val="1"/>
          </rPr>
          <t>Tony Koop:</t>
        </r>
        <r>
          <rPr>
            <sz val="9"/>
            <color indexed="81"/>
            <rFont val="Tahoma"/>
            <charset val="1"/>
          </rPr>
          <t xml:space="preserve">
Theoretical length + cap correction</t>
        </r>
      </text>
    </comment>
    <comment ref="H41" authorId="0" shapeId="0" xr:uid="{AA26D30C-1BEF-449A-8C4F-1E95DCA6EFB4}">
      <text>
        <r>
          <rPr>
            <b/>
            <sz val="9"/>
            <color indexed="81"/>
            <rFont val="Tahoma"/>
            <charset val="1"/>
          </rPr>
          <t>Tony Koop:</t>
        </r>
        <r>
          <rPr>
            <sz val="9"/>
            <color indexed="81"/>
            <rFont val="Tahoma"/>
            <charset val="1"/>
          </rPr>
          <t xml:space="preserve">
Node at 22.42% from each end — drill cord hole here</t>
        </r>
      </text>
    </comment>
    <comment ref="I41" authorId="0" shapeId="0" xr:uid="{CEC1D051-CF05-4F72-BE29-CC7941DDBCAC}">
      <text>
        <r>
          <rPr>
            <b/>
            <sz val="9"/>
            <color indexed="81"/>
            <rFont val="Tahoma"/>
            <charset val="1"/>
          </rPr>
          <t>Tony Koop:</t>
        </r>
        <r>
          <rPr>
            <sz val="9"/>
            <color indexed="81"/>
            <rFont val="Tahoma"/>
            <charset val="1"/>
          </rPr>
          <t xml:space="preserve">
Natural notes (white keys) in front row</t>
        </r>
      </text>
    </comment>
    <comment ref="E42" authorId="0" shapeId="0" xr:uid="{F945FCFF-C6B2-4F00-A711-25BF580AC816}">
      <text>
        <r>
          <rPr>
            <b/>
            <sz val="9"/>
            <color indexed="81"/>
            <rFont val="Tahoma"/>
            <charset val="1"/>
          </rPr>
          <t>Tony Koop:</t>
        </r>
        <r>
          <rPr>
            <sz val="9"/>
            <color indexed="81"/>
            <rFont val="Tahoma"/>
            <charset val="1"/>
          </rPr>
          <t xml:space="preserve">
Free-free beam: L = √((λ²/2πf)×√(EI/ρA)), SI then /0.0254 for inches</t>
        </r>
      </text>
    </comment>
    <comment ref="F42" authorId="0" shapeId="0" xr:uid="{3ADA1B75-3611-49DF-B07F-45799C9A6582}">
      <text>
        <r>
          <rPr>
            <b/>
            <sz val="9"/>
            <color indexed="81"/>
            <rFont val="Tahoma"/>
            <charset val="1"/>
          </rPr>
          <t>Tony Koop:</t>
        </r>
        <r>
          <rPr>
            <sz val="9"/>
            <color indexed="81"/>
            <rFont val="Tahoma"/>
            <charset val="1"/>
          </rPr>
          <t xml:space="preserve">
Theoretical length + cap correction</t>
        </r>
      </text>
    </comment>
    <comment ref="H42" authorId="0" shapeId="0" xr:uid="{C33D14C3-7DD6-4CE3-B541-7EDF6D3F0FB0}">
      <text>
        <r>
          <rPr>
            <b/>
            <sz val="9"/>
            <color indexed="81"/>
            <rFont val="Tahoma"/>
            <charset val="1"/>
          </rPr>
          <t>Tony Koop:</t>
        </r>
        <r>
          <rPr>
            <sz val="9"/>
            <color indexed="81"/>
            <rFont val="Tahoma"/>
            <charset val="1"/>
          </rPr>
          <t xml:space="preserve">
Node at 22.42% from each end — drill cord hole here</t>
        </r>
      </text>
    </comment>
    <comment ref="I42" authorId="0" shapeId="0" xr:uid="{69673EAF-E02D-46C3-8E72-221F23AB3E14}">
      <text>
        <r>
          <rPr>
            <b/>
            <sz val="9"/>
            <color indexed="81"/>
            <rFont val="Tahoma"/>
            <charset val="1"/>
          </rPr>
          <t>Tony Koop:</t>
        </r>
        <r>
          <rPr>
            <sz val="9"/>
            <color indexed="81"/>
            <rFont val="Tahoma"/>
            <charset val="1"/>
          </rPr>
          <t xml:space="preserve">
Natural notes (white keys) in front row</t>
        </r>
      </text>
    </comment>
    <comment ref="E43" authorId="0" shapeId="0" xr:uid="{84307FBE-928F-454D-8A8F-A3C41C7BF21F}">
      <text>
        <r>
          <rPr>
            <b/>
            <sz val="9"/>
            <color indexed="81"/>
            <rFont val="Tahoma"/>
            <charset val="1"/>
          </rPr>
          <t>Tony Koop:</t>
        </r>
        <r>
          <rPr>
            <sz val="9"/>
            <color indexed="81"/>
            <rFont val="Tahoma"/>
            <charset val="1"/>
          </rPr>
          <t xml:space="preserve">
Free-free beam: L = √((λ²/2πf)×√(EI/ρA)), SI then /0.0254 for inches</t>
        </r>
      </text>
    </comment>
    <comment ref="F43" authorId="0" shapeId="0" xr:uid="{EB981E9D-0EE1-4651-A1CE-72518B168BD3}">
      <text>
        <r>
          <rPr>
            <b/>
            <sz val="9"/>
            <color indexed="81"/>
            <rFont val="Tahoma"/>
            <charset val="1"/>
          </rPr>
          <t>Tony Koop:</t>
        </r>
        <r>
          <rPr>
            <sz val="9"/>
            <color indexed="81"/>
            <rFont val="Tahoma"/>
            <charset val="1"/>
          </rPr>
          <t xml:space="preserve">
Theoretical length + cap correction</t>
        </r>
      </text>
    </comment>
    <comment ref="H43" authorId="0" shapeId="0" xr:uid="{BAFEE92D-0A5D-45A2-8306-53F1C6EF11DD}">
      <text>
        <r>
          <rPr>
            <b/>
            <sz val="9"/>
            <color indexed="81"/>
            <rFont val="Tahoma"/>
            <charset val="1"/>
          </rPr>
          <t>Tony Koop:</t>
        </r>
        <r>
          <rPr>
            <sz val="9"/>
            <color indexed="81"/>
            <rFont val="Tahoma"/>
            <charset val="1"/>
          </rPr>
          <t xml:space="preserve">
Node at 22.42% from each end — drill cord hole here</t>
        </r>
      </text>
    </comment>
    <comment ref="I43" authorId="0" shapeId="0" xr:uid="{51CAFF40-B60F-4033-88F0-7F48174B32C7}">
      <text>
        <r>
          <rPr>
            <b/>
            <sz val="9"/>
            <color indexed="81"/>
            <rFont val="Tahoma"/>
            <charset val="1"/>
          </rPr>
          <t>Tony Koop:</t>
        </r>
        <r>
          <rPr>
            <sz val="9"/>
            <color indexed="81"/>
            <rFont val="Tahoma"/>
            <charset val="1"/>
          </rPr>
          <t xml:space="preserve">
Natural notes (white keys) in front row</t>
        </r>
      </text>
    </comment>
    <comment ref="E44" authorId="0" shapeId="0" xr:uid="{312B83D3-43D7-4886-8BE3-9E970C3ECFB7}">
      <text>
        <r>
          <rPr>
            <b/>
            <sz val="9"/>
            <color indexed="81"/>
            <rFont val="Tahoma"/>
            <charset val="1"/>
          </rPr>
          <t>Tony Koop:</t>
        </r>
        <r>
          <rPr>
            <sz val="9"/>
            <color indexed="81"/>
            <rFont val="Tahoma"/>
            <charset val="1"/>
          </rPr>
          <t xml:space="preserve">
Free-free beam: L = √((λ²/2πf)×√(EI/ρA)), SI then /0.0254 for inches</t>
        </r>
      </text>
    </comment>
    <comment ref="F44" authorId="0" shapeId="0" xr:uid="{217A1747-AB99-4579-8E79-ABA804AE3DD8}">
      <text>
        <r>
          <rPr>
            <b/>
            <sz val="9"/>
            <color indexed="81"/>
            <rFont val="Tahoma"/>
            <charset val="1"/>
          </rPr>
          <t>Tony Koop:</t>
        </r>
        <r>
          <rPr>
            <sz val="9"/>
            <color indexed="81"/>
            <rFont val="Tahoma"/>
            <charset val="1"/>
          </rPr>
          <t xml:space="preserve">
Theoretical length + cap correction</t>
        </r>
      </text>
    </comment>
    <comment ref="H44" authorId="0" shapeId="0" xr:uid="{FAEAE0C4-CFE8-4DED-BF4D-3D54625ABBF2}">
      <text>
        <r>
          <rPr>
            <b/>
            <sz val="9"/>
            <color indexed="81"/>
            <rFont val="Tahoma"/>
            <charset val="1"/>
          </rPr>
          <t>Tony Koop:</t>
        </r>
        <r>
          <rPr>
            <sz val="9"/>
            <color indexed="81"/>
            <rFont val="Tahoma"/>
            <charset val="1"/>
          </rPr>
          <t xml:space="preserve">
Node at 22.42% from each end — drill cord hole here</t>
        </r>
      </text>
    </comment>
    <comment ref="I44" authorId="0" shapeId="0" xr:uid="{3BC5A4E7-1F4B-415C-A07A-C91479F5F6B0}">
      <text>
        <r>
          <rPr>
            <b/>
            <sz val="9"/>
            <color indexed="81"/>
            <rFont val="Tahoma"/>
            <charset val="1"/>
          </rPr>
          <t>Tony Koop:</t>
        </r>
        <r>
          <rPr>
            <sz val="9"/>
            <color indexed="81"/>
            <rFont val="Tahoma"/>
            <charset val="1"/>
          </rPr>
          <t xml:space="preserve">
Natural notes (white keys) in front row</t>
        </r>
      </text>
    </comment>
    <comment ref="E45" authorId="0" shapeId="0" xr:uid="{65D91F35-DCCB-435D-9A08-AF403728CFC4}">
      <text>
        <r>
          <rPr>
            <b/>
            <sz val="9"/>
            <color indexed="81"/>
            <rFont val="Tahoma"/>
            <charset val="1"/>
          </rPr>
          <t>Tony Koop:</t>
        </r>
        <r>
          <rPr>
            <sz val="9"/>
            <color indexed="81"/>
            <rFont val="Tahoma"/>
            <charset val="1"/>
          </rPr>
          <t xml:space="preserve">
Free-free beam: L = √((λ²/2πf)×√(EI/ρA)), SI then /0.0254 for inches</t>
        </r>
      </text>
    </comment>
    <comment ref="F45" authorId="0" shapeId="0" xr:uid="{3478988A-8DF3-4B1A-9FBA-64297F717ED9}">
      <text>
        <r>
          <rPr>
            <b/>
            <sz val="9"/>
            <color indexed="81"/>
            <rFont val="Tahoma"/>
            <charset val="1"/>
          </rPr>
          <t>Tony Koop:</t>
        </r>
        <r>
          <rPr>
            <sz val="9"/>
            <color indexed="81"/>
            <rFont val="Tahoma"/>
            <charset val="1"/>
          </rPr>
          <t xml:space="preserve">
Theoretical length + cap correction</t>
        </r>
      </text>
    </comment>
    <comment ref="H45" authorId="0" shapeId="0" xr:uid="{279ABDE6-BA38-4368-BC85-560C32B1A6A7}">
      <text>
        <r>
          <rPr>
            <b/>
            <sz val="9"/>
            <color indexed="81"/>
            <rFont val="Tahoma"/>
            <charset val="1"/>
          </rPr>
          <t>Tony Koop:</t>
        </r>
        <r>
          <rPr>
            <sz val="9"/>
            <color indexed="81"/>
            <rFont val="Tahoma"/>
            <charset val="1"/>
          </rPr>
          <t xml:space="preserve">
Node at 22.42% from each end — drill cord hole here</t>
        </r>
      </text>
    </comment>
    <comment ref="I45" authorId="0" shapeId="0" xr:uid="{EA039B70-43E6-428B-BF3A-275991FD3313}">
      <text>
        <r>
          <rPr>
            <b/>
            <sz val="9"/>
            <color indexed="81"/>
            <rFont val="Tahoma"/>
            <charset val="1"/>
          </rPr>
          <t>Tony Koop:</t>
        </r>
        <r>
          <rPr>
            <sz val="9"/>
            <color indexed="81"/>
            <rFont val="Tahoma"/>
            <charset val="1"/>
          </rPr>
          <t xml:space="preserve">
Natural notes (white keys) in front row</t>
        </r>
      </text>
    </comment>
    <comment ref="E46" authorId="0" shapeId="0" xr:uid="{D60A700C-E1C3-4F04-8F14-1009A673C584}">
      <text>
        <r>
          <rPr>
            <b/>
            <sz val="9"/>
            <color indexed="81"/>
            <rFont val="Tahoma"/>
            <charset val="1"/>
          </rPr>
          <t>Tony Koop:</t>
        </r>
        <r>
          <rPr>
            <sz val="9"/>
            <color indexed="81"/>
            <rFont val="Tahoma"/>
            <charset val="1"/>
          </rPr>
          <t xml:space="preserve">
Free-free beam: L = √((λ²/2πf)×√(EI/ρA)), SI then /0.0254 for inches</t>
        </r>
      </text>
    </comment>
    <comment ref="F46" authorId="0" shapeId="0" xr:uid="{0131E164-D1EC-493B-9C00-89407CCC3CE1}">
      <text>
        <r>
          <rPr>
            <b/>
            <sz val="9"/>
            <color indexed="81"/>
            <rFont val="Tahoma"/>
            <charset val="1"/>
          </rPr>
          <t>Tony Koop:</t>
        </r>
        <r>
          <rPr>
            <sz val="9"/>
            <color indexed="81"/>
            <rFont val="Tahoma"/>
            <charset val="1"/>
          </rPr>
          <t xml:space="preserve">
Theoretical length + cap correction</t>
        </r>
      </text>
    </comment>
    <comment ref="H46" authorId="0" shapeId="0" xr:uid="{BB6EE0D8-87C0-4A1D-8760-08BA855F9345}">
      <text>
        <r>
          <rPr>
            <b/>
            <sz val="9"/>
            <color indexed="81"/>
            <rFont val="Tahoma"/>
            <charset val="1"/>
          </rPr>
          <t>Tony Koop:</t>
        </r>
        <r>
          <rPr>
            <sz val="9"/>
            <color indexed="81"/>
            <rFont val="Tahoma"/>
            <charset val="1"/>
          </rPr>
          <t xml:space="preserve">
Node at 22.42% from each end — drill cord hole here</t>
        </r>
      </text>
    </comment>
    <comment ref="I46" authorId="0" shapeId="0" xr:uid="{1B841636-8ED0-4AC6-A621-B9A9E0B41239}">
      <text>
        <r>
          <rPr>
            <b/>
            <sz val="9"/>
            <color indexed="81"/>
            <rFont val="Tahoma"/>
            <charset val="1"/>
          </rPr>
          <t>Tony Koop:</t>
        </r>
        <r>
          <rPr>
            <sz val="9"/>
            <color indexed="81"/>
            <rFont val="Tahoma"/>
            <charset val="1"/>
          </rPr>
          <t xml:space="preserve">
Natural notes (white keys) in front row</t>
        </r>
      </text>
    </comment>
    <comment ref="E47" authorId="0" shapeId="0" xr:uid="{5C386290-BCD4-46AA-BDC5-6FABAB641D78}">
      <text>
        <r>
          <rPr>
            <b/>
            <sz val="9"/>
            <color indexed="81"/>
            <rFont val="Tahoma"/>
            <charset val="1"/>
          </rPr>
          <t>Tony Koop:</t>
        </r>
        <r>
          <rPr>
            <sz val="9"/>
            <color indexed="81"/>
            <rFont val="Tahoma"/>
            <charset val="1"/>
          </rPr>
          <t xml:space="preserve">
Free-free beam: L = √((λ²/2πf)×√(EI/ρA)), SI then /0.0254 for inches</t>
        </r>
      </text>
    </comment>
    <comment ref="F47" authorId="0" shapeId="0" xr:uid="{99EC1068-29CC-4AB4-8A9C-5EB37B928227}">
      <text>
        <r>
          <rPr>
            <b/>
            <sz val="9"/>
            <color indexed="81"/>
            <rFont val="Tahoma"/>
            <charset val="1"/>
          </rPr>
          <t>Tony Koop:</t>
        </r>
        <r>
          <rPr>
            <sz val="9"/>
            <color indexed="81"/>
            <rFont val="Tahoma"/>
            <charset val="1"/>
          </rPr>
          <t xml:space="preserve">
Theoretical length + cap correction</t>
        </r>
      </text>
    </comment>
    <comment ref="H47" authorId="0" shapeId="0" xr:uid="{328487EA-92A2-4428-81C4-9FA5966E673C}">
      <text>
        <r>
          <rPr>
            <b/>
            <sz val="9"/>
            <color indexed="81"/>
            <rFont val="Tahoma"/>
            <charset val="1"/>
          </rPr>
          <t>Tony Koop:</t>
        </r>
        <r>
          <rPr>
            <sz val="9"/>
            <color indexed="81"/>
            <rFont val="Tahoma"/>
            <charset val="1"/>
          </rPr>
          <t xml:space="preserve">
Node at 22.42% from each end — drill cord hole here</t>
        </r>
      </text>
    </comment>
    <comment ref="I47" authorId="0" shapeId="0" xr:uid="{2F710E77-41BA-49B2-A8B4-68F55229A586}">
      <text>
        <r>
          <rPr>
            <b/>
            <sz val="9"/>
            <color indexed="81"/>
            <rFont val="Tahoma"/>
            <charset val="1"/>
          </rPr>
          <t>Tony Koop:</t>
        </r>
        <r>
          <rPr>
            <sz val="9"/>
            <color indexed="81"/>
            <rFont val="Tahoma"/>
            <charset val="1"/>
          </rPr>
          <t xml:space="preserve">
Natural notes (white keys) in front row</t>
        </r>
      </text>
    </comment>
    <comment ref="E48" authorId="0" shapeId="0" xr:uid="{6D9DE4D8-E658-4EAE-9B00-F8758823F180}">
      <text>
        <r>
          <rPr>
            <b/>
            <sz val="9"/>
            <color indexed="81"/>
            <rFont val="Tahoma"/>
            <charset val="1"/>
          </rPr>
          <t>Tony Koop:</t>
        </r>
        <r>
          <rPr>
            <sz val="9"/>
            <color indexed="81"/>
            <rFont val="Tahoma"/>
            <charset val="1"/>
          </rPr>
          <t xml:space="preserve">
Free-free beam: L = √((λ²/2πf)×√(EI/ρA)), SI then /0.0254 for inches</t>
        </r>
      </text>
    </comment>
    <comment ref="F48" authorId="0" shapeId="0" xr:uid="{0C97F7A2-B1D8-4506-91F3-C3450394A5F8}">
      <text>
        <r>
          <rPr>
            <b/>
            <sz val="9"/>
            <color indexed="81"/>
            <rFont val="Tahoma"/>
            <charset val="1"/>
          </rPr>
          <t>Tony Koop:</t>
        </r>
        <r>
          <rPr>
            <sz val="9"/>
            <color indexed="81"/>
            <rFont val="Tahoma"/>
            <charset val="1"/>
          </rPr>
          <t xml:space="preserve">
Theoretical length + cap correction</t>
        </r>
      </text>
    </comment>
    <comment ref="H48" authorId="0" shapeId="0" xr:uid="{76801F66-E4EB-470C-8F7D-E6B1808773B2}">
      <text>
        <r>
          <rPr>
            <b/>
            <sz val="9"/>
            <color indexed="81"/>
            <rFont val="Tahoma"/>
            <charset val="1"/>
          </rPr>
          <t>Tony Koop:</t>
        </r>
        <r>
          <rPr>
            <sz val="9"/>
            <color indexed="81"/>
            <rFont val="Tahoma"/>
            <charset val="1"/>
          </rPr>
          <t xml:space="preserve">
Node at 22.42% from each end — drill cord hole here</t>
        </r>
      </text>
    </comment>
    <comment ref="I48" authorId="0" shapeId="0" xr:uid="{8D7A6D33-B03C-49C8-A87A-3123E5736622}">
      <text>
        <r>
          <rPr>
            <b/>
            <sz val="9"/>
            <color indexed="81"/>
            <rFont val="Tahoma"/>
            <charset val="1"/>
          </rPr>
          <t>Tony Koop:</t>
        </r>
        <r>
          <rPr>
            <sz val="9"/>
            <color indexed="81"/>
            <rFont val="Tahoma"/>
            <charset val="1"/>
          </rPr>
          <t xml:space="preserve">
Natural notes (white keys) in front row</t>
        </r>
      </text>
    </comment>
    <comment ref="E49" authorId="0" shapeId="0" xr:uid="{76AE4B23-300E-42CC-A6F5-C56BBCA0B727}">
      <text>
        <r>
          <rPr>
            <b/>
            <sz val="9"/>
            <color indexed="81"/>
            <rFont val="Tahoma"/>
            <charset val="1"/>
          </rPr>
          <t>Tony Koop:</t>
        </r>
        <r>
          <rPr>
            <sz val="9"/>
            <color indexed="81"/>
            <rFont val="Tahoma"/>
            <charset val="1"/>
          </rPr>
          <t xml:space="preserve">
Free-free beam: L = √((λ²/2πf)×√(EI/ρA)), SI then /0.0254 for inches</t>
        </r>
      </text>
    </comment>
    <comment ref="F49" authorId="0" shapeId="0" xr:uid="{9E310C82-C3AC-4282-A967-A5CE57C446DC}">
      <text>
        <r>
          <rPr>
            <b/>
            <sz val="9"/>
            <color indexed="81"/>
            <rFont val="Tahoma"/>
            <charset val="1"/>
          </rPr>
          <t>Tony Koop:</t>
        </r>
        <r>
          <rPr>
            <sz val="9"/>
            <color indexed="81"/>
            <rFont val="Tahoma"/>
            <charset val="1"/>
          </rPr>
          <t xml:space="preserve">
Theoretical length + cap correction</t>
        </r>
      </text>
    </comment>
    <comment ref="H49" authorId="0" shapeId="0" xr:uid="{860489A1-74C5-45D2-AB41-3C512AEEAF10}">
      <text>
        <r>
          <rPr>
            <b/>
            <sz val="9"/>
            <color indexed="81"/>
            <rFont val="Tahoma"/>
            <charset val="1"/>
          </rPr>
          <t>Tony Koop:</t>
        </r>
        <r>
          <rPr>
            <sz val="9"/>
            <color indexed="81"/>
            <rFont val="Tahoma"/>
            <charset val="1"/>
          </rPr>
          <t xml:space="preserve">
Node at 22.42% from each end — drill cord hole here</t>
        </r>
      </text>
    </comment>
    <comment ref="I49" authorId="0" shapeId="0" xr:uid="{90B99686-192B-421D-9487-BA48E722AFFA}">
      <text>
        <r>
          <rPr>
            <b/>
            <sz val="9"/>
            <color indexed="81"/>
            <rFont val="Tahoma"/>
            <charset val="1"/>
          </rPr>
          <t>Tony Koop:</t>
        </r>
        <r>
          <rPr>
            <sz val="9"/>
            <color indexed="81"/>
            <rFont val="Tahoma"/>
            <charset val="1"/>
          </rPr>
          <t xml:space="preserve">
Natural notes (white keys) in front row</t>
        </r>
      </text>
    </comment>
    <comment ref="E50" authorId="0" shapeId="0" xr:uid="{D506CEF9-AEAC-47CB-B240-88AB85EB2280}">
      <text>
        <r>
          <rPr>
            <b/>
            <sz val="9"/>
            <color indexed="81"/>
            <rFont val="Tahoma"/>
            <charset val="1"/>
          </rPr>
          <t>Tony Koop:</t>
        </r>
        <r>
          <rPr>
            <sz val="9"/>
            <color indexed="81"/>
            <rFont val="Tahoma"/>
            <charset val="1"/>
          </rPr>
          <t xml:space="preserve">
Free-free beam: L = √((λ²/2πf)×√(EI/ρA)), SI then /0.0254 for inches</t>
        </r>
      </text>
    </comment>
    <comment ref="F50" authorId="0" shapeId="0" xr:uid="{01AC04EC-D195-4AD9-9496-83428321CEAF}">
      <text>
        <r>
          <rPr>
            <b/>
            <sz val="9"/>
            <color indexed="81"/>
            <rFont val="Tahoma"/>
            <charset val="1"/>
          </rPr>
          <t>Tony Koop:</t>
        </r>
        <r>
          <rPr>
            <sz val="9"/>
            <color indexed="81"/>
            <rFont val="Tahoma"/>
            <charset val="1"/>
          </rPr>
          <t xml:space="preserve">
Theoretical length + cap correction</t>
        </r>
      </text>
    </comment>
    <comment ref="H50" authorId="0" shapeId="0" xr:uid="{8CB8A733-A089-4A2F-8BF2-6F79CF7014DA}">
      <text>
        <r>
          <rPr>
            <b/>
            <sz val="9"/>
            <color indexed="81"/>
            <rFont val="Tahoma"/>
            <charset val="1"/>
          </rPr>
          <t>Tony Koop:</t>
        </r>
        <r>
          <rPr>
            <sz val="9"/>
            <color indexed="81"/>
            <rFont val="Tahoma"/>
            <charset val="1"/>
          </rPr>
          <t xml:space="preserve">
Node at 22.42% from each end — drill cord hole here</t>
        </r>
      </text>
    </comment>
    <comment ref="I50" authorId="0" shapeId="0" xr:uid="{13645A6A-91B2-4DE7-8BA7-7102F9311612}">
      <text>
        <r>
          <rPr>
            <b/>
            <sz val="9"/>
            <color indexed="81"/>
            <rFont val="Tahoma"/>
            <charset val="1"/>
          </rPr>
          <t>Tony Koop:</t>
        </r>
        <r>
          <rPr>
            <sz val="9"/>
            <color indexed="81"/>
            <rFont val="Tahoma"/>
            <charset val="1"/>
          </rPr>
          <t xml:space="preserve">
Natural notes (white keys) in front row</t>
        </r>
      </text>
    </comment>
    <comment ref="E51" authorId="0" shapeId="0" xr:uid="{C9B61584-DD37-4B26-AEEC-2ACA49F3C52F}">
      <text>
        <r>
          <rPr>
            <b/>
            <sz val="9"/>
            <color indexed="81"/>
            <rFont val="Tahoma"/>
            <charset val="1"/>
          </rPr>
          <t>Tony Koop:</t>
        </r>
        <r>
          <rPr>
            <sz val="9"/>
            <color indexed="81"/>
            <rFont val="Tahoma"/>
            <charset val="1"/>
          </rPr>
          <t xml:space="preserve">
Free-free beam: L = √((λ²/2πf)×√(EI/ρA)), SI then /0.0254 for inches</t>
        </r>
      </text>
    </comment>
    <comment ref="F51" authorId="0" shapeId="0" xr:uid="{C6C45C11-D068-4CD2-AEE4-7842CCA93EF0}">
      <text>
        <r>
          <rPr>
            <b/>
            <sz val="9"/>
            <color indexed="81"/>
            <rFont val="Tahoma"/>
            <charset val="1"/>
          </rPr>
          <t>Tony Koop:</t>
        </r>
        <r>
          <rPr>
            <sz val="9"/>
            <color indexed="81"/>
            <rFont val="Tahoma"/>
            <charset val="1"/>
          </rPr>
          <t xml:space="preserve">
Theoretical length + cap correction</t>
        </r>
      </text>
    </comment>
    <comment ref="H51" authorId="0" shapeId="0" xr:uid="{20F7975F-4B3A-4A63-8592-C03EF03F916E}">
      <text>
        <r>
          <rPr>
            <b/>
            <sz val="9"/>
            <color indexed="81"/>
            <rFont val="Tahoma"/>
            <charset val="1"/>
          </rPr>
          <t>Tony Koop:</t>
        </r>
        <r>
          <rPr>
            <sz val="9"/>
            <color indexed="81"/>
            <rFont val="Tahoma"/>
            <charset val="1"/>
          </rPr>
          <t xml:space="preserve">
Node at 22.42% from each end — drill cord hole here</t>
        </r>
      </text>
    </comment>
    <comment ref="I51" authorId="0" shapeId="0" xr:uid="{3C7B9FA3-4B43-41D2-8C36-2D40A8F9C481}">
      <text>
        <r>
          <rPr>
            <b/>
            <sz val="9"/>
            <color indexed="81"/>
            <rFont val="Tahoma"/>
            <charset val="1"/>
          </rPr>
          <t>Tony Koop:</t>
        </r>
        <r>
          <rPr>
            <sz val="9"/>
            <color indexed="81"/>
            <rFont val="Tahoma"/>
            <charset val="1"/>
          </rPr>
          <t xml:space="preserve">
Natural notes (white keys) in front row</t>
        </r>
      </text>
    </comment>
    <comment ref="F77" authorId="0" shapeId="0" xr:uid="{019FD3A8-0B53-4422-A14B-D4BFC7250D79}">
      <text>
        <r>
          <rPr>
            <b/>
            <sz val="9"/>
            <color indexed="81"/>
            <rFont val="Tahoma"/>
            <charset val="1"/>
          </rPr>
          <t>Tony Koop:</t>
        </r>
        <r>
          <rPr>
            <sz val="9"/>
            <color indexed="81"/>
            <rFont val="Tahoma"/>
            <charset val="1"/>
          </rPr>
          <t xml:space="preserve">
Brass tubes are the major cost driver. Steel EMT brings total to $150-300.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5" authorId="0" shapeId="0" xr:uid="{B7FED69E-2234-4160-8C02-A447DCE9E646}">
      <text>
        <r>
          <rPr>
            <b/>
            <sz val="9"/>
            <color indexed="81"/>
            <rFont val="Tahoma"/>
            <charset val="1"/>
          </rPr>
          <t>Tony Koop:</t>
        </r>
        <r>
          <rPr>
            <sz val="9"/>
            <color indexed="81"/>
            <rFont val="Tahoma"/>
            <charset val="1"/>
          </rPr>
          <t xml:space="preserve">
Source: Stockholm Steel Band Tuning Handbook. 567mm standard</t>
        </r>
      </text>
    </comment>
    <comment ref="B7" authorId="0" shapeId="0" xr:uid="{DC7642AD-2CD2-481E-B603-81C492341761}">
      <text>
        <r>
          <rPr>
            <b/>
            <sz val="9"/>
            <color indexed="81"/>
            <rFont val="Tahoma"/>
            <charset val="1"/>
          </rPr>
          <t>Tony Koop:</t>
        </r>
        <r>
          <rPr>
            <sz val="9"/>
            <color indexed="81"/>
            <rFont val="Tahoma"/>
            <charset val="1"/>
          </rPr>
          <t xml:space="preserve">
Sum of outer note arc lengths must equal this</t>
        </r>
      </text>
    </comment>
    <comment ref="H28" authorId="0" shapeId="0" xr:uid="{B9FD9868-B6FA-481E-9C4B-345C3521705B}">
      <text>
        <r>
          <rPr>
            <b/>
            <sz val="9"/>
            <color indexed="81"/>
            <rFont val="Tahoma"/>
            <charset val="1"/>
          </rPr>
          <t>Tony Koop:</t>
        </r>
        <r>
          <rPr>
            <sz val="9"/>
            <color indexed="81"/>
            <rFont val="Tahoma"/>
            <charset val="1"/>
          </rPr>
          <t xml:space="preserve">
Largest outer note — at bottom facing player</t>
        </r>
      </text>
    </comment>
    <comment ref="I56" authorId="0" shapeId="0" xr:uid="{AFA8188D-7453-400A-B04F-C97739DBEE58}">
      <text>
        <r>
          <rPr>
            <b/>
            <sz val="9"/>
            <color indexed="81"/>
            <rFont val="Tahoma"/>
            <charset val="1"/>
          </rPr>
          <t>Tony Koop:</t>
        </r>
        <r>
          <rPr>
            <sz val="9"/>
            <color indexed="81"/>
            <rFont val="Tahoma"/>
            <charset val="1"/>
          </rPr>
          <t xml:space="preserve">
Smallest note — nearly circular</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27" authorId="0" shapeId="0" xr:uid="{34914356-7D33-4403-AF76-68450ABD932A}">
      <text>
        <r>
          <rPr>
            <b/>
            <sz val="9"/>
            <color indexed="81"/>
            <rFont val="Tahoma"/>
            <charset val="1"/>
          </rPr>
          <t>Tony Koop:</t>
        </r>
        <r>
          <rPr>
            <sz val="9"/>
            <color indexed="81"/>
            <rFont val="Tahoma"/>
            <charset val="1"/>
          </rPr>
          <t xml:space="preserve">
Internal dims: height minus 2 panels, width minus 2 panels, depth minus back+tapa</t>
        </r>
      </text>
    </comment>
    <comment ref="B29" authorId="0" shapeId="0" xr:uid="{4AD74665-CB4C-43FF-A2A3-7B5E30EB94BF}">
      <text>
        <r>
          <rPr>
            <b/>
            <sz val="9"/>
            <color indexed="81"/>
            <rFont val="Tahoma"/>
            <charset val="1"/>
          </rPr>
          <t>Tony Koop:</t>
        </r>
        <r>
          <rPr>
            <sz val="9"/>
            <color indexed="81"/>
            <rFont val="Tahoma"/>
            <charset val="1"/>
          </rPr>
          <t xml:space="preserve">
= back panel thickness (effective neck of the port)</t>
        </r>
      </text>
    </comment>
    <comment ref="F72" authorId="0" shapeId="0" xr:uid="{0EC0BC67-877B-4D44-9852-3C8EE8E72D8D}">
      <text>
        <r>
          <rPr>
            <b/>
            <sz val="9"/>
            <color indexed="81"/>
            <rFont val="Tahoma"/>
            <charset val="1"/>
          </rPr>
          <t>Tony Koop:</t>
        </r>
        <r>
          <rPr>
            <sz val="9"/>
            <color indexed="81"/>
            <rFont val="Tahoma"/>
            <charset val="1"/>
          </rPr>
          <t xml:space="preserve">
Excludes Broinwood files; add $15-30 per design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21" authorId="0" shapeId="0" xr:uid="{0DCF25B2-1DCC-49A6-8A08-FCFBC52473E2}">
      <text>
        <r>
          <rPr>
            <b/>
            <sz val="9"/>
            <color indexed="81"/>
            <rFont val="Tahoma"/>
            <charset val="1"/>
          </rPr>
          <t>Tony Koop:</t>
        </r>
        <r>
          <rPr>
            <sz val="9"/>
            <color indexed="81"/>
            <rFont val="Tahoma"/>
            <charset val="1"/>
          </rPr>
          <t xml:space="preserve">
Change this to reference D17-D20 to switch metals</t>
        </r>
      </text>
    </comment>
    <comment ref="F25" authorId="0" shapeId="0" xr:uid="{4981B004-EF1D-4790-B4F9-05F5D5053474}">
      <text>
        <r>
          <rPr>
            <b/>
            <sz val="9"/>
            <color indexed="81"/>
            <rFont val="Tahoma"/>
            <charset val="1"/>
          </rPr>
          <t>Tony Koop:</t>
        </r>
        <r>
          <rPr>
            <sz val="9"/>
            <color indexed="81"/>
            <rFont val="Tahoma"/>
            <charset val="1"/>
          </rPr>
          <t xml:space="preserve">
Node at 22.42% from end; drill hole here for cord</t>
        </r>
      </text>
    </comment>
    <comment ref="F28" authorId="0" shapeId="0" xr:uid="{0047657F-0DD3-41EF-BB44-2CB5DA76FC65}">
      <text>
        <r>
          <rPr>
            <b/>
            <sz val="9"/>
            <color indexed="81"/>
            <rFont val="Tahoma"/>
            <charset val="1"/>
          </rPr>
          <t>Tony Koop:</t>
        </r>
        <r>
          <rPr>
            <sz val="9"/>
            <color indexed="81"/>
            <rFont val="Tahoma"/>
            <charset val="1"/>
          </rPr>
          <t xml:space="preserve">
Node at 22.42% from end; drill hole here for cord</t>
        </r>
      </text>
    </comment>
    <comment ref="F31" authorId="0" shapeId="0" xr:uid="{EEACA199-EEF4-4F05-B19D-7C0595F59C0F}">
      <text>
        <r>
          <rPr>
            <b/>
            <sz val="9"/>
            <color indexed="81"/>
            <rFont val="Tahoma"/>
            <charset val="1"/>
          </rPr>
          <t>Tony Koop:</t>
        </r>
        <r>
          <rPr>
            <sz val="9"/>
            <color indexed="81"/>
            <rFont val="Tahoma"/>
            <charset val="1"/>
          </rPr>
          <t xml:space="preserve">
Node at 22.42% from end; drill hole here for cord</t>
        </r>
      </text>
    </comment>
    <comment ref="F34" authorId="0" shapeId="0" xr:uid="{F6E493AE-A6ED-4CCE-870D-47D3D6E16CBC}">
      <text>
        <r>
          <rPr>
            <b/>
            <sz val="9"/>
            <color indexed="81"/>
            <rFont val="Tahoma"/>
            <charset val="1"/>
          </rPr>
          <t>Tony Koop:</t>
        </r>
        <r>
          <rPr>
            <sz val="9"/>
            <color indexed="81"/>
            <rFont val="Tahoma"/>
            <charset val="1"/>
          </rPr>
          <t xml:space="preserve">
Node at 22.42% from end; drill hole here for cord</t>
        </r>
      </text>
    </comment>
    <comment ref="F37" authorId="0" shapeId="0" xr:uid="{A81E89C9-F20B-4307-929F-2B4F18B20F38}">
      <text>
        <r>
          <rPr>
            <b/>
            <sz val="9"/>
            <color indexed="81"/>
            <rFont val="Tahoma"/>
            <charset val="1"/>
          </rPr>
          <t>Tony Koop:</t>
        </r>
        <r>
          <rPr>
            <sz val="9"/>
            <color indexed="81"/>
            <rFont val="Tahoma"/>
            <charset val="1"/>
          </rPr>
          <t xml:space="preserve">
Node at 22.42% from end; drill hole here for cord</t>
        </r>
      </text>
    </comment>
    <comment ref="F40" authorId="0" shapeId="0" xr:uid="{198335E4-0579-49A5-BD5F-E652A46ED597}">
      <text>
        <r>
          <rPr>
            <b/>
            <sz val="9"/>
            <color indexed="81"/>
            <rFont val="Tahoma"/>
            <charset val="1"/>
          </rPr>
          <t>Tony Koop:</t>
        </r>
        <r>
          <rPr>
            <sz val="9"/>
            <color indexed="81"/>
            <rFont val="Tahoma"/>
            <charset val="1"/>
          </rPr>
          <t xml:space="preserve">
Node at 22.42% from end; drill hole here for cord</t>
        </r>
      </text>
    </comment>
    <comment ref="F43" authorId="0" shapeId="0" xr:uid="{54A7B168-8940-4683-BB45-A481B124620B}">
      <text>
        <r>
          <rPr>
            <b/>
            <sz val="9"/>
            <color indexed="81"/>
            <rFont val="Tahoma"/>
            <charset val="1"/>
          </rPr>
          <t>Tony Koop:</t>
        </r>
        <r>
          <rPr>
            <sz val="9"/>
            <color indexed="81"/>
            <rFont val="Tahoma"/>
            <charset val="1"/>
          </rPr>
          <t xml:space="preserve">
Node at 22.42% from end; drill hole here for cord</t>
        </r>
      </text>
    </comment>
    <comment ref="F46" authorId="0" shapeId="0" xr:uid="{D20B9BC8-CE43-4638-B04D-B94036C3F753}">
      <text>
        <r>
          <rPr>
            <b/>
            <sz val="9"/>
            <color indexed="81"/>
            <rFont val="Tahoma"/>
            <charset val="1"/>
          </rPr>
          <t>Tony Koop:</t>
        </r>
        <r>
          <rPr>
            <sz val="9"/>
            <color indexed="81"/>
            <rFont val="Tahoma"/>
            <charset val="1"/>
          </rPr>
          <t xml:space="preserve">
Node at 22.42% from end; drill hole here for cord</t>
        </r>
      </text>
    </comment>
    <comment ref="F49" authorId="0" shapeId="0" xr:uid="{02058DD0-B9B8-4E85-B07A-A85EBCD50BB8}">
      <text>
        <r>
          <rPr>
            <b/>
            <sz val="9"/>
            <color indexed="81"/>
            <rFont val="Tahoma"/>
            <charset val="1"/>
          </rPr>
          <t>Tony Koop:</t>
        </r>
        <r>
          <rPr>
            <sz val="9"/>
            <color indexed="81"/>
            <rFont val="Tahoma"/>
            <charset val="1"/>
          </rPr>
          <t xml:space="preserve">
Node at 22.42% from end; drill hole here for cord</t>
        </r>
      </text>
    </comment>
    <comment ref="B107" authorId="0" shapeId="0" xr:uid="{1777EA1D-E866-4A71-935A-435825013DDF}">
      <text>
        <r>
          <rPr>
            <b/>
            <sz val="9"/>
            <color indexed="81"/>
            <rFont val="Tahoma"/>
            <charset val="1"/>
          </rPr>
          <t>Tony Koop:</t>
        </r>
        <r>
          <rPr>
            <sz val="9"/>
            <color indexed="81"/>
            <rFont val="Tahoma"/>
            <charset val="1"/>
          </rPr>
          <t xml:space="preserve">
Bar lengths + 0.5 in overcut per bar for tuning</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5" authorId="0" shapeId="0" xr:uid="{5662EAA1-FFD7-49DE-BE75-A6E358A83B25}">
      <text>
        <r>
          <rPr>
            <b/>
            <sz val="9"/>
            <color indexed="81"/>
            <rFont val="Tahoma"/>
            <charset val="1"/>
          </rPr>
          <t>Tony Koop:</t>
        </r>
        <r>
          <rPr>
            <sz val="9"/>
            <color indexed="81"/>
            <rFont val="Tahoma"/>
            <charset val="1"/>
          </rPr>
          <t xml:space="preserve">
3 ft = standard. Range: 12" (short) to 60" (XL)</t>
        </r>
      </text>
    </comment>
    <comment ref="B10" authorId="0" shapeId="0" xr:uid="{45A1E514-213D-4F4D-A923-624741C3662C}">
      <text>
        <r>
          <rPr>
            <b/>
            <sz val="9"/>
            <color indexed="81"/>
            <rFont val="Tahoma"/>
            <charset val="1"/>
          </rPr>
          <t>Tony Koop:</t>
        </r>
        <r>
          <rPr>
            <sz val="9"/>
            <color indexed="81"/>
            <rFont val="Tahoma"/>
            <charset val="1"/>
          </rPr>
          <t xml:space="preserve">
3/16" birch dowel = standard spiral stick</t>
        </r>
      </text>
    </comment>
    <comment ref="B11" authorId="0" shapeId="0" xr:uid="{CEAF74A3-32BE-4C31-85FA-9CB159E2AFE2}">
      <text>
        <r>
          <rPr>
            <b/>
            <sz val="9"/>
            <color indexed="81"/>
            <rFont val="Tahoma"/>
            <charset val="1"/>
          </rPr>
          <t>Tony Koop:</t>
        </r>
        <r>
          <rPr>
            <sz val="9"/>
            <color indexed="81"/>
            <rFont val="Tahoma"/>
            <charset val="1"/>
          </rPr>
          <t xml:space="preserve">
Distance between successive pin rows. Tighter = slower cascade = longer sound</t>
        </r>
      </text>
    </comment>
    <comment ref="B22" authorId="0" shapeId="0" xr:uid="{91A9DD82-B639-44A3-A82C-D994C7FFCEBC}">
      <text>
        <r>
          <rPr>
            <b/>
            <sz val="9"/>
            <color indexed="81"/>
            <rFont val="Tahoma"/>
            <charset val="1"/>
          </rPr>
          <t>Tony Koop:</t>
        </r>
        <r>
          <rPr>
            <sz val="9"/>
            <color indexed="81"/>
            <rFont val="Tahoma"/>
            <charset val="1"/>
          </rPr>
          <t xml:space="preserve">
1 dowel per spiral turn for spiral method. For pin method: multiply by pins-per-row (4-8)</t>
        </r>
      </text>
    </comment>
    <comment ref="B24" authorId="0" shapeId="0" xr:uid="{1B3DD213-DA0A-4696-BD7D-D858EC7F5473}">
      <text>
        <r>
          <rPr>
            <b/>
            <sz val="9"/>
            <color indexed="81"/>
            <rFont val="Tahoma"/>
            <charset val="1"/>
          </rPr>
          <t>Tony Koop:</t>
        </r>
        <r>
          <rPr>
            <sz val="9"/>
            <color indexed="81"/>
            <rFont val="Tahoma"/>
            <charset val="1"/>
          </rPr>
          <t xml:space="preserve">
Helix length = turns × √((circumference)² + pitch²)</t>
        </r>
      </text>
    </comment>
    <comment ref="B25" authorId="0" shapeId="0" xr:uid="{D4CA3573-F1D8-49E2-BC9A-2EE08A72E511}">
      <text>
        <r>
          <rPr>
            <b/>
            <sz val="9"/>
            <color indexed="81"/>
            <rFont val="Tahoma"/>
            <charset val="1"/>
          </rPr>
          <t>Tony Koop:</t>
        </r>
        <r>
          <rPr>
            <sz val="9"/>
            <color indexed="81"/>
            <rFont val="Tahoma"/>
            <charset val="1"/>
          </rPr>
          <t xml:space="preserve">
Empirical: ~2 in/sec cascade rate for microbeads at 10% fill. Varies with fill density and pin spacing.</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6" authorId="0" shapeId="0" xr:uid="{851892E4-7489-4BE8-88B0-ED89155664F6}">
      <text>
        <r>
          <rPr>
            <b/>
            <sz val="9"/>
            <color indexed="81"/>
            <rFont val="Tahoma"/>
            <charset val="1"/>
          </rPr>
          <t>Tony Koop:</t>
        </r>
        <r>
          <rPr>
            <sz val="9"/>
            <color indexed="81"/>
            <rFont val="Tahoma"/>
            <charset val="1"/>
          </rPr>
          <t xml:space="preserve">
Measured by filling finished body with water. Adjust for clay shrinkage.</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A46" authorId="0" shapeId="0" xr:uid="{9912AA6D-AF4C-494F-87B9-2C063A693B7C}">
      <text>
        <r>
          <rPr>
            <b/>
            <sz val="9"/>
            <color indexed="81"/>
            <rFont val="Tahoma"/>
            <charset val="1"/>
          </rPr>
          <t>Tony Koop:</t>
        </r>
        <r>
          <rPr>
            <sz val="9"/>
            <color indexed="81"/>
            <rFont val="Tahoma"/>
            <charset val="1"/>
          </rPr>
          <t xml:space="preserve">
U-slit per tongue = (1 bottom + 2 sides) × slit_width × respective lengths</t>
        </r>
      </text>
    </comment>
    <comment ref="B46" authorId="0" shapeId="0" xr:uid="{8FB6177C-918E-44FF-8652-6749AB64E62A}">
      <text>
        <r>
          <rPr>
            <b/>
            <sz val="9"/>
            <color indexed="81"/>
            <rFont val="Tahoma"/>
            <charset val="1"/>
          </rPr>
          <t>Each tongue: U-slit = bottom_slit (slit_W × tongue_W) + 2 side_slits (slit_W × ~3" avg length). Side slit length depends on tongue length — using 3" estimate for Medium. Adjust after tongue schedule is built.</t>
        </r>
      </text>
    </comment>
    <comment ref="B85" authorId="0" shapeId="0" xr:uid="{22844681-C33E-4959-B7F7-770A530F6A2F}">
      <text>
        <r>
          <rPr>
            <b/>
            <sz val="9"/>
            <color indexed="81"/>
            <rFont val="Tahoma"/>
            <charset val="1"/>
          </rPr>
          <t>Tony Koop:</t>
        </r>
        <r>
          <rPr>
            <sz val="9"/>
            <color indexed="81"/>
            <rFont val="Tahoma"/>
            <charset val="1"/>
          </rPr>
          <t xml:space="preserve">
Starts oversized; turn to final wall thickness on lathe</t>
        </r>
      </text>
    </comment>
    <comment ref="F89" authorId="0" shapeId="0" xr:uid="{AAC41B93-5FDD-4D89-8EFE-B843F8C83013}">
      <text>
        <r>
          <rPr>
            <b/>
            <sz val="9"/>
            <color indexed="81"/>
            <rFont val="Tahoma"/>
            <charset val="1"/>
          </rPr>
          <t>Tony Koop:</t>
        </r>
        <r>
          <rPr>
            <sz val="9"/>
            <color indexed="81"/>
            <rFont val="Tahoma"/>
            <charset val="1"/>
          </rPr>
          <t xml:space="preserve">
L = √(K × t / f) — cantilever beam</t>
        </r>
      </text>
    </comment>
    <comment ref="I89" authorId="0" shapeId="0" xr:uid="{E48ED01F-DB50-410B-9902-0B26F6390A1C}">
      <text>
        <r>
          <rPr>
            <b/>
            <sz val="9"/>
            <color indexed="81"/>
            <rFont val="Tahoma"/>
            <charset val="1"/>
          </rPr>
          <t>Tony Koop:</t>
        </r>
        <r>
          <rPr>
            <sz val="9"/>
            <color indexed="81"/>
            <rFont val="Tahoma"/>
            <charset val="1"/>
          </rPr>
          <t xml:space="preserve">
Arc angle the tongue subtends on cylinder surface</t>
        </r>
      </text>
    </comment>
    <comment ref="F90" authorId="0" shapeId="0" xr:uid="{732D3146-8F6D-4D59-AFBB-05CB5F236577}">
      <text>
        <r>
          <rPr>
            <b/>
            <sz val="9"/>
            <color indexed="81"/>
            <rFont val="Tahoma"/>
            <charset val="1"/>
          </rPr>
          <t>Tony Koop:</t>
        </r>
        <r>
          <rPr>
            <sz val="9"/>
            <color indexed="81"/>
            <rFont val="Tahoma"/>
            <charset val="1"/>
          </rPr>
          <t xml:space="preserve">
L = √(K × t / f) — cantilever beam</t>
        </r>
      </text>
    </comment>
    <comment ref="I90" authorId="0" shapeId="0" xr:uid="{4F68BE9A-E71F-4535-9C17-2AA4BD365EEF}">
      <text>
        <r>
          <rPr>
            <b/>
            <sz val="9"/>
            <color indexed="81"/>
            <rFont val="Tahoma"/>
            <charset val="1"/>
          </rPr>
          <t>Tony Koop:</t>
        </r>
        <r>
          <rPr>
            <sz val="9"/>
            <color indexed="81"/>
            <rFont val="Tahoma"/>
            <charset val="1"/>
          </rPr>
          <t xml:space="preserve">
Arc angle the tongue subtends on cylinder surface</t>
        </r>
      </text>
    </comment>
    <comment ref="F91" authorId="0" shapeId="0" xr:uid="{4DE47065-B904-484C-B2D2-9C255B8841F2}">
      <text>
        <r>
          <rPr>
            <b/>
            <sz val="9"/>
            <color indexed="81"/>
            <rFont val="Tahoma"/>
            <charset val="1"/>
          </rPr>
          <t>Tony Koop:</t>
        </r>
        <r>
          <rPr>
            <sz val="9"/>
            <color indexed="81"/>
            <rFont val="Tahoma"/>
            <charset val="1"/>
          </rPr>
          <t xml:space="preserve">
L = √(K × t / f) — cantilever beam</t>
        </r>
      </text>
    </comment>
    <comment ref="I91" authorId="0" shapeId="0" xr:uid="{821A2BE6-E4D3-431E-BF44-930DD424A917}">
      <text>
        <r>
          <rPr>
            <b/>
            <sz val="9"/>
            <color indexed="81"/>
            <rFont val="Tahoma"/>
            <charset val="1"/>
          </rPr>
          <t>Tony Koop:</t>
        </r>
        <r>
          <rPr>
            <sz val="9"/>
            <color indexed="81"/>
            <rFont val="Tahoma"/>
            <charset val="1"/>
          </rPr>
          <t xml:space="preserve">
Arc angle the tongue subtends on cylinder surface</t>
        </r>
      </text>
    </comment>
    <comment ref="F92" authorId="0" shapeId="0" xr:uid="{2FC0AB21-70CB-4A88-845A-764AD8C15E63}">
      <text>
        <r>
          <rPr>
            <b/>
            <sz val="9"/>
            <color indexed="81"/>
            <rFont val="Tahoma"/>
            <charset val="1"/>
          </rPr>
          <t>Tony Koop:</t>
        </r>
        <r>
          <rPr>
            <sz val="9"/>
            <color indexed="81"/>
            <rFont val="Tahoma"/>
            <charset val="1"/>
          </rPr>
          <t xml:space="preserve">
L = √(K × t / f) — cantilever beam</t>
        </r>
      </text>
    </comment>
    <comment ref="I92" authorId="0" shapeId="0" xr:uid="{611ECF2D-9004-45DE-A140-4614822D97BE}">
      <text>
        <r>
          <rPr>
            <b/>
            <sz val="9"/>
            <color indexed="81"/>
            <rFont val="Tahoma"/>
            <charset val="1"/>
          </rPr>
          <t>Tony Koop:</t>
        </r>
        <r>
          <rPr>
            <sz val="9"/>
            <color indexed="81"/>
            <rFont val="Tahoma"/>
            <charset val="1"/>
          </rPr>
          <t xml:space="preserve">
Arc angle the tongue subtends on cylinder surface</t>
        </r>
      </text>
    </comment>
    <comment ref="F93" authorId="0" shapeId="0" xr:uid="{D58CF60C-FAE9-4B50-BA62-858A07EAF9E6}">
      <text>
        <r>
          <rPr>
            <b/>
            <sz val="9"/>
            <color indexed="81"/>
            <rFont val="Tahoma"/>
            <charset val="1"/>
          </rPr>
          <t>Tony Koop:</t>
        </r>
        <r>
          <rPr>
            <sz val="9"/>
            <color indexed="81"/>
            <rFont val="Tahoma"/>
            <charset val="1"/>
          </rPr>
          <t xml:space="preserve">
L = √(K × t / f) — cantilever beam</t>
        </r>
      </text>
    </comment>
    <comment ref="I93" authorId="0" shapeId="0" xr:uid="{22264518-978C-4416-9DAA-CF1CC4A888B1}">
      <text>
        <r>
          <rPr>
            <b/>
            <sz val="9"/>
            <color indexed="81"/>
            <rFont val="Tahoma"/>
            <charset val="1"/>
          </rPr>
          <t>Tony Koop:</t>
        </r>
        <r>
          <rPr>
            <sz val="9"/>
            <color indexed="81"/>
            <rFont val="Tahoma"/>
            <charset val="1"/>
          </rPr>
          <t xml:space="preserve">
Arc angle the tongue subtends on cylinder surface</t>
        </r>
      </text>
    </comment>
    <comment ref="F94" authorId="0" shapeId="0" xr:uid="{5595BC8B-FF89-4BA7-A17B-B11D555375E0}">
      <text>
        <r>
          <rPr>
            <b/>
            <sz val="9"/>
            <color indexed="81"/>
            <rFont val="Tahoma"/>
            <charset val="1"/>
          </rPr>
          <t>Tony Koop:</t>
        </r>
        <r>
          <rPr>
            <sz val="9"/>
            <color indexed="81"/>
            <rFont val="Tahoma"/>
            <charset val="1"/>
          </rPr>
          <t xml:space="preserve">
L = √(K × t / f) — cantilever beam</t>
        </r>
      </text>
    </comment>
    <comment ref="I94" authorId="0" shapeId="0" xr:uid="{F3B1FF45-A3C7-45FA-B26C-6B6CBA1524C7}">
      <text>
        <r>
          <rPr>
            <b/>
            <sz val="9"/>
            <color indexed="81"/>
            <rFont val="Tahoma"/>
            <charset val="1"/>
          </rPr>
          <t>Tony Koop:</t>
        </r>
        <r>
          <rPr>
            <sz val="9"/>
            <color indexed="81"/>
            <rFont val="Tahoma"/>
            <charset val="1"/>
          </rPr>
          <t xml:space="preserve">
Arc angle the tongue subtends on cylinder surface</t>
        </r>
      </text>
    </comment>
    <comment ref="F95" authorId="0" shapeId="0" xr:uid="{F0E07FE4-8740-4144-9DF0-E2DB6BC7EDAC}">
      <text>
        <r>
          <rPr>
            <b/>
            <sz val="9"/>
            <color indexed="81"/>
            <rFont val="Tahoma"/>
            <charset val="1"/>
          </rPr>
          <t>Tony Koop:</t>
        </r>
        <r>
          <rPr>
            <sz val="9"/>
            <color indexed="81"/>
            <rFont val="Tahoma"/>
            <charset val="1"/>
          </rPr>
          <t xml:space="preserve">
L = √(K × t / f) — cantilever beam</t>
        </r>
      </text>
    </comment>
    <comment ref="I95" authorId="0" shapeId="0" xr:uid="{4CE6C6EE-AD6D-4A48-98FB-3D2939D975C4}">
      <text>
        <r>
          <rPr>
            <b/>
            <sz val="9"/>
            <color indexed="81"/>
            <rFont val="Tahoma"/>
            <charset val="1"/>
          </rPr>
          <t>Tony Koop:</t>
        </r>
        <r>
          <rPr>
            <sz val="9"/>
            <color indexed="81"/>
            <rFont val="Tahoma"/>
            <charset val="1"/>
          </rPr>
          <t xml:space="preserve">
Arc angle the tongue subtends on cylinder surface</t>
        </r>
      </text>
    </comment>
    <comment ref="F96" authorId="0" shapeId="0" xr:uid="{1AF95B33-30AC-4CE8-AA2C-9A294DDD1532}">
      <text>
        <r>
          <rPr>
            <b/>
            <sz val="9"/>
            <color indexed="81"/>
            <rFont val="Tahoma"/>
            <charset val="1"/>
          </rPr>
          <t>Tony Koop:</t>
        </r>
        <r>
          <rPr>
            <sz val="9"/>
            <color indexed="81"/>
            <rFont val="Tahoma"/>
            <charset val="1"/>
          </rPr>
          <t xml:space="preserve">
L = √(K × t / f) — cantilever beam</t>
        </r>
      </text>
    </comment>
    <comment ref="I96" authorId="0" shapeId="0" xr:uid="{5B462EC1-7491-413F-AA27-DDCFA1D0A778}">
      <text>
        <r>
          <rPr>
            <b/>
            <sz val="9"/>
            <color indexed="81"/>
            <rFont val="Tahoma"/>
            <charset val="1"/>
          </rPr>
          <t>Tony Koop:</t>
        </r>
        <r>
          <rPr>
            <sz val="9"/>
            <color indexed="81"/>
            <rFont val="Tahoma"/>
            <charset val="1"/>
          </rPr>
          <t xml:space="preserve">
Arc angle the tongue subtends on cylinder surface</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5" authorId="0" shapeId="0" xr:uid="{780D9449-A7C6-49C4-9827-63C66E4EF094}">
      <text>
        <r>
          <rPr>
            <b/>
            <sz val="9"/>
            <color indexed="81"/>
            <rFont val="Tahoma"/>
            <charset val="1"/>
          </rPr>
          <t>Tony Koop:</t>
        </r>
        <r>
          <rPr>
            <sz val="9"/>
            <color indexed="81"/>
            <rFont val="Tahoma"/>
            <charset val="1"/>
          </rPr>
          <t xml:space="preserve">
Modern GHB standard: 475-485 Hz. Concert Bb = 466 Hz.</t>
        </r>
      </text>
    </comment>
    <comment ref="B36" authorId="0" shapeId="0" xr:uid="{FB937D62-721A-4D97-82B1-45C15254DC49}">
      <text>
        <r>
          <rPr>
            <b/>
            <sz val="9"/>
            <color indexed="81"/>
            <rFont val="Tahoma"/>
            <charset val="1"/>
          </rPr>
          <t>Tony Koop:</t>
        </r>
        <r>
          <rPr>
            <sz val="9"/>
            <color indexed="81"/>
            <rFont val="Tahoma"/>
            <charset val="1"/>
          </rPr>
          <t xml:space="preserve">
Reed tip to bell; 21.5" total with mouthpiece</t>
        </r>
      </text>
    </comment>
    <comment ref="B38" authorId="0" shapeId="0" xr:uid="{234FCD98-5B96-411F-AB87-4285B1C7B131}">
      <text>
        <r>
          <rPr>
            <b/>
            <sz val="9"/>
            <color indexed="81"/>
            <rFont val="Tahoma"/>
            <charset val="1"/>
          </rPr>
          <t>Tony Koop:</t>
        </r>
        <r>
          <rPr>
            <sz val="9"/>
            <color indexed="81"/>
            <rFont val="Tahoma"/>
            <charset val="1"/>
          </rPr>
          <t xml:space="preserve">
Estimate from mouthpiece OD</t>
        </r>
      </text>
    </comment>
    <comment ref="B40" authorId="0" shapeId="0" xr:uid="{F88D5CC5-F88A-44E4-9874-9BDC1F44F494}">
      <text>
        <r>
          <rPr>
            <b/>
            <sz val="9"/>
            <color indexed="81"/>
            <rFont val="Tahoma"/>
            <charset val="1"/>
          </rPr>
          <t>Tony Koop:</t>
        </r>
        <r>
          <rPr>
            <sz val="9"/>
            <color indexed="81"/>
            <rFont val="Tahoma"/>
            <charset val="1"/>
          </rPr>
          <t xml:space="preserve">
Measured bell OD est ~0.75"</t>
        </r>
      </text>
    </comment>
    <comment ref="B42" authorId="0" shapeId="0" xr:uid="{1DC85A25-7A37-45B7-A7D3-775E8F14C4D7}">
      <text>
        <r>
          <rPr>
            <b/>
            <sz val="9"/>
            <color indexed="81"/>
            <rFont val="Tahoma"/>
            <charset val="1"/>
          </rPr>
          <t>Tony Koop:</t>
        </r>
        <r>
          <rPr>
            <sz val="9"/>
            <color indexed="81"/>
            <rFont val="Tahoma"/>
            <charset val="1"/>
          </rPr>
          <t xml:space="preserve">
Measured: 0.150" cylindrical for most of length</t>
        </r>
      </text>
    </comment>
    <comment ref="B43" authorId="0" shapeId="0" xr:uid="{4AA3CF77-E4F8-4859-B0D8-8747B9727D67}">
      <text>
        <r>
          <rPr>
            <b/>
            <sz val="9"/>
            <color indexed="81"/>
            <rFont val="Tahoma"/>
            <charset val="1"/>
          </rPr>
          <t>Tony Koop:</t>
        </r>
        <r>
          <rPr>
            <sz val="9"/>
            <color indexed="81"/>
            <rFont val="Tahoma"/>
            <charset val="1"/>
          </rPr>
          <t xml:space="preserve">
Measured: bell opening ID 0.565" — flares only in last ~2"</t>
        </r>
      </text>
    </comment>
    <comment ref="B48" authorId="0" shapeId="0" xr:uid="{41CB09E1-5EB1-4211-8A0C-439A1B1398E2}">
      <text>
        <r>
          <rPr>
            <b/>
            <sz val="9"/>
            <color indexed="81"/>
            <rFont val="Tahoma"/>
            <charset val="1"/>
          </rPr>
          <t>MEASURED by Tony 2026-05-02</t>
        </r>
      </text>
    </comment>
    <comment ref="D48" authorId="0" shapeId="0" xr:uid="{B682963F-CE94-40DA-ABD9-2AFB81BDBFDF}">
      <text>
        <r>
          <rPr>
            <b/>
            <sz val="9"/>
            <color indexed="81"/>
            <rFont val="Tahoma"/>
            <charset val="1"/>
          </rPr>
          <t>Tony Koop:</t>
        </r>
        <r>
          <rPr>
            <sz val="9"/>
            <color indexed="81"/>
            <rFont val="Tahoma"/>
            <charset val="1"/>
          </rPr>
          <t xml:space="preserve">
Measured</t>
        </r>
      </text>
    </comment>
    <comment ref="B49" authorId="0" shapeId="0" xr:uid="{DAEB36E3-153E-4C2D-84B9-6DEE15C7033B}">
      <text>
        <r>
          <rPr>
            <b/>
            <sz val="9"/>
            <color indexed="81"/>
            <rFont val="Tahoma"/>
            <charset val="1"/>
          </rPr>
          <t>MEASURED</t>
        </r>
      </text>
    </comment>
    <comment ref="D49" authorId="0" shapeId="0" xr:uid="{C3537BAD-DCE0-48B4-8A99-71D2238653B4}">
      <text>
        <r>
          <rPr>
            <b/>
            <sz val="9"/>
            <color indexed="81"/>
            <rFont val="Tahoma"/>
            <charset val="1"/>
          </rPr>
          <t>Tony Koop:</t>
        </r>
        <r>
          <rPr>
            <sz val="9"/>
            <color indexed="81"/>
            <rFont val="Tahoma"/>
            <charset val="1"/>
          </rPr>
          <t xml:space="preserve">
Measured</t>
        </r>
      </text>
    </comment>
    <comment ref="B50" authorId="0" shapeId="0" xr:uid="{A497B3CE-6501-4310-84E3-2AC1A707B984}">
      <text>
        <r>
          <rPr>
            <b/>
            <sz val="9"/>
            <color indexed="81"/>
            <rFont val="Tahoma"/>
            <charset val="1"/>
          </rPr>
          <t>MEASURED</t>
        </r>
      </text>
    </comment>
    <comment ref="D50" authorId="0" shapeId="0" xr:uid="{86BCFFDC-89EF-4A60-A321-312C59D84608}">
      <text>
        <r>
          <rPr>
            <b/>
            <sz val="9"/>
            <color indexed="81"/>
            <rFont val="Tahoma"/>
            <charset val="1"/>
          </rPr>
          <t>Tony Koop:</t>
        </r>
        <r>
          <rPr>
            <sz val="9"/>
            <color indexed="81"/>
            <rFont val="Tahoma"/>
            <charset val="1"/>
          </rPr>
          <t xml:space="preserve">
Measured</t>
        </r>
      </text>
    </comment>
    <comment ref="B51" authorId="0" shapeId="0" xr:uid="{5CE27307-A25F-4712-BE7D-1C8908B6D386}">
      <text>
        <r>
          <rPr>
            <b/>
            <sz val="9"/>
            <color indexed="81"/>
            <rFont val="Tahoma"/>
            <charset val="1"/>
          </rPr>
          <t>MEASURED</t>
        </r>
      </text>
    </comment>
    <comment ref="D51" authorId="0" shapeId="0" xr:uid="{42B43519-9B6F-44A5-AE31-7A58D0BF6908}">
      <text>
        <r>
          <rPr>
            <b/>
            <sz val="9"/>
            <color indexed="81"/>
            <rFont val="Tahoma"/>
            <charset val="1"/>
          </rPr>
          <t>Tony Koop:</t>
        </r>
        <r>
          <rPr>
            <sz val="9"/>
            <color indexed="81"/>
            <rFont val="Tahoma"/>
            <charset val="1"/>
          </rPr>
          <t xml:space="preserve">
Measured — smaller than neighbors</t>
        </r>
      </text>
    </comment>
    <comment ref="B52" authorId="0" shapeId="0" xr:uid="{E1F81B42-0501-4391-A64B-980601617E04}">
      <text>
        <r>
          <rPr>
            <b/>
            <sz val="9"/>
            <color indexed="81"/>
            <rFont val="Tahoma"/>
            <charset val="1"/>
          </rPr>
          <t>MEASURED</t>
        </r>
      </text>
    </comment>
    <comment ref="D52" authorId="0" shapeId="0" xr:uid="{76DFF458-EC0D-4AC5-8D20-B000922ACF3E}">
      <text>
        <r>
          <rPr>
            <b/>
            <sz val="9"/>
            <color indexed="81"/>
            <rFont val="Tahoma"/>
            <charset val="1"/>
          </rPr>
          <t>Tony Koop:</t>
        </r>
        <r>
          <rPr>
            <sz val="9"/>
            <color indexed="81"/>
            <rFont val="Tahoma"/>
            <charset val="1"/>
          </rPr>
          <t xml:space="preserve">
Measured</t>
        </r>
      </text>
    </comment>
    <comment ref="B53" authorId="0" shapeId="0" xr:uid="{99D24831-F1F9-494D-A6A7-6D87FD92E30A}">
      <text>
        <r>
          <rPr>
            <b/>
            <sz val="9"/>
            <color indexed="81"/>
            <rFont val="Tahoma"/>
            <charset val="1"/>
          </rPr>
          <t>MEASURED</t>
        </r>
      </text>
    </comment>
    <comment ref="D53" authorId="0" shapeId="0" xr:uid="{5DCD1914-4046-4835-BA72-C2159236DE73}">
      <text>
        <r>
          <rPr>
            <b/>
            <sz val="9"/>
            <color indexed="81"/>
            <rFont val="Tahoma"/>
            <charset val="1"/>
          </rPr>
          <t>Tony Koop:</t>
        </r>
        <r>
          <rPr>
            <sz val="9"/>
            <color indexed="81"/>
            <rFont val="Tahoma"/>
            <charset val="1"/>
          </rPr>
          <t xml:space="preserve">
Measured — smaller than neighbors</t>
        </r>
      </text>
    </comment>
    <comment ref="B54" authorId="0" shapeId="0" xr:uid="{79C2B188-B340-47A7-A871-BCFAF0E25BBB}">
      <text>
        <r>
          <rPr>
            <b/>
            <sz val="9"/>
            <color indexed="81"/>
            <rFont val="Tahoma"/>
            <charset val="1"/>
          </rPr>
          <t>MEASURED (was 10.60 from initial estimate)</t>
        </r>
      </text>
    </comment>
    <comment ref="D54" authorId="0" shapeId="0" xr:uid="{11A25A67-B426-43CC-A3B1-31111BB860EC}">
      <text>
        <r>
          <rPr>
            <b/>
            <sz val="9"/>
            <color indexed="81"/>
            <rFont val="Tahoma"/>
            <charset val="1"/>
          </rPr>
          <t>Tony Koop:</t>
        </r>
        <r>
          <rPr>
            <sz val="9"/>
            <color indexed="81"/>
            <rFont val="Tahoma"/>
            <charset val="1"/>
          </rPr>
          <t xml:space="preserve">
Measured — smallest hole (top)</t>
        </r>
      </text>
    </comment>
    <comment ref="E54" authorId="0" shapeId="0" xr:uid="{BC6DE7E2-158B-45F0-976C-F68BD173C9DC}">
      <text>
        <r>
          <rPr>
            <b/>
            <sz val="9"/>
            <color indexed="81"/>
            <rFont val="Tahoma"/>
            <charset val="1"/>
          </rPr>
          <t>Tony Koop:</t>
        </r>
        <r>
          <rPr>
            <sz val="9"/>
            <color indexed="81"/>
            <rFont val="Tahoma"/>
            <charset val="1"/>
          </rPr>
          <t xml:space="preserve">
&gt;45° chamfer on all holes</t>
        </r>
      </text>
    </comment>
    <comment ref="B55" authorId="0" shapeId="0" xr:uid="{F6931408-4359-41C8-81EA-65DE9BD421DE}">
      <text>
        <r>
          <rPr>
            <b/>
            <sz val="9"/>
            <color indexed="81"/>
            <rFont val="Tahoma"/>
            <charset val="1"/>
          </rPr>
          <t>Tony Koop:</t>
        </r>
        <r>
          <rPr>
            <sz val="9"/>
            <color indexed="81"/>
            <rFont val="Tahoma"/>
            <charset val="1"/>
          </rPr>
          <t xml:space="preserve">
Measured: 11.25" from bell</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33" authorId="0" shapeId="0" xr:uid="{24167C52-2D51-40B4-A20B-9AFF7A89A033}">
      <text>
        <r>
          <rPr>
            <b/>
            <sz val="9"/>
            <color indexed="81"/>
            <rFont val="Tahoma"/>
            <charset val="1"/>
          </rPr>
          <t>Tony Koop:</t>
        </r>
        <r>
          <rPr>
            <sz val="9"/>
            <color indexed="81"/>
            <rFont val="Tahoma"/>
            <charset val="1"/>
          </rPr>
          <t xml:space="preserve">
5mm — typical for fired stoneware slab</t>
        </r>
      </text>
    </comment>
    <comment ref="B34" authorId="0" shapeId="0" xr:uid="{1F13E270-6D82-4D75-AADD-BACD662C63FC}">
      <text>
        <r>
          <rPr>
            <b/>
            <sz val="9"/>
            <color indexed="81"/>
            <rFont val="Tahoma"/>
            <charset val="1"/>
          </rPr>
          <t>Tony Koop:</t>
        </r>
        <r>
          <rPr>
            <sz val="9"/>
            <color indexed="81"/>
            <rFont val="Tahoma"/>
            <charset val="1"/>
          </rPr>
          <t xml:space="preserve">
Cut before bisque firing with wire or blade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E39" authorId="0" shapeId="0" xr:uid="{0B17A170-EBB8-461C-9B2C-D2762AA87222}">
      <text>
        <r>
          <rPr>
            <b/>
            <sz val="9"/>
            <color indexed="81"/>
            <rFont val="Tahoma"/>
            <charset val="1"/>
          </rPr>
          <t>Tony Koop:</t>
        </r>
        <r>
          <rPr>
            <sz val="9"/>
            <color indexed="81"/>
            <rFont val="Tahoma"/>
            <charset val="1"/>
          </rPr>
          <t xml:space="preserve">
ft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E39" authorId="0" shapeId="0" xr:uid="{5C521F41-F1B3-4362-B927-7AE18D41AA21}">
      <text>
        <r>
          <rPr>
            <b/>
            <sz val="9"/>
            <color indexed="81"/>
            <rFont val="Tahoma"/>
            <charset val="1"/>
          </rPr>
          <t>Tony Koop:</t>
        </r>
        <r>
          <rPr>
            <sz val="9"/>
            <color indexed="81"/>
            <rFont val="Tahoma"/>
            <charset val="1"/>
          </rPr>
          <t xml:space="preserve">
ft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5" authorId="0" shapeId="0" xr:uid="{7A3698AB-536A-41B1-9D68-B54815FB742D}">
      <text>
        <r>
          <rPr>
            <b/>
            <sz val="9"/>
            <color indexed="81"/>
            <rFont val="Tahoma"/>
            <charset val="1"/>
          </rPr>
          <t>Tony Koop:</t>
        </r>
        <r>
          <rPr>
            <sz val="9"/>
            <color indexed="81"/>
            <rFont val="Tahoma"/>
            <charset val="1"/>
          </rPr>
          <t xml:space="preserve">
51.5 cm full-size traditional kora bowl</t>
        </r>
      </text>
    </comment>
    <comment ref="B6" authorId="0" shapeId="0" xr:uid="{3218EE95-BE36-4705-91CC-E2E8FD0A7DE2}">
      <text>
        <r>
          <rPr>
            <b/>
            <sz val="9"/>
            <color indexed="81"/>
            <rFont val="Tahoma"/>
            <charset val="1"/>
          </rPr>
          <t>Tony Koop:</t>
        </r>
        <r>
          <rPr>
            <sz val="9"/>
            <color indexed="81"/>
            <rFont val="Tahoma"/>
            <charset val="1"/>
          </rPr>
          <t xml:space="preserve">
25 cm traditional depth</t>
        </r>
      </text>
    </comment>
    <comment ref="B7" authorId="0" shapeId="0" xr:uid="{763CF1EB-3219-490D-91D2-3759EA3F3C44}">
      <text>
        <r>
          <rPr>
            <b/>
            <sz val="9"/>
            <color indexed="81"/>
            <rFont val="Tahoma"/>
            <charset val="1"/>
          </rPr>
          <t>Tony Koop:</t>
        </r>
        <r>
          <rPr>
            <sz val="9"/>
            <color indexed="81"/>
            <rFont val="Tahoma"/>
            <charset val="1"/>
          </rPr>
          <t xml:space="preserve">
130 cm traditional neck</t>
        </r>
      </text>
    </comment>
    <comment ref="B8" authorId="0" shapeId="0" xr:uid="{3C92083F-135B-40D9-B677-8738C052A59A}">
      <text>
        <r>
          <rPr>
            <b/>
            <sz val="9"/>
            <color indexed="81"/>
            <rFont val="Tahoma"/>
            <charset val="1"/>
          </rPr>
          <t>Tony Koop:</t>
        </r>
        <r>
          <rPr>
            <sz val="9"/>
            <color indexed="81"/>
            <rFont val="Tahoma"/>
            <charset val="1"/>
          </rPr>
          <t xml:space="preserve">
22 cm — highest string (D6)</t>
        </r>
      </text>
    </comment>
    <comment ref="B9" authorId="0" shapeId="0" xr:uid="{A75656C1-D5B7-41E7-93A8-E1584AA839B6}">
      <text>
        <r>
          <rPr>
            <b/>
            <sz val="9"/>
            <color indexed="81"/>
            <rFont val="Tahoma"/>
            <charset val="1"/>
          </rPr>
          <t>Tony Koop:</t>
        </r>
        <r>
          <rPr>
            <sz val="9"/>
            <color indexed="81"/>
            <rFont val="Tahoma"/>
            <charset val="1"/>
          </rPr>
          <t xml:space="preserve">
79 cm — lowest string (F3)</t>
        </r>
      </text>
    </comment>
    <comment ref="E28" authorId="0" shapeId="0" xr:uid="{84645431-31A7-4ECD-B1E2-14EC03C4CE9F}">
      <text>
        <r>
          <rPr>
            <b/>
            <sz val="9"/>
            <color indexed="81"/>
            <rFont val="Tahoma"/>
            <charset val="1"/>
          </rPr>
          <t>Tony Koop:</t>
        </r>
        <r>
          <rPr>
            <sz val="9"/>
            <color indexed="81"/>
            <rFont val="Tahoma"/>
            <charset val="1"/>
          </rPr>
          <t xml:space="preserve">
Hemispherical profile: narrower at top (neck), widest at equator</t>
        </r>
      </text>
    </comment>
    <comment ref="E29" authorId="0" shapeId="0" xr:uid="{D2673E1B-D73E-444F-83BC-5104B295584F}">
      <text>
        <r>
          <rPr>
            <b/>
            <sz val="9"/>
            <color indexed="81"/>
            <rFont val="Tahoma"/>
            <charset val="1"/>
          </rPr>
          <t>Tony Koop:</t>
        </r>
        <r>
          <rPr>
            <sz val="9"/>
            <color indexed="81"/>
            <rFont val="Tahoma"/>
            <charset val="1"/>
          </rPr>
          <t xml:space="preserve">
Hemispherical profile: narrower at top (neck), widest at equator</t>
        </r>
      </text>
    </comment>
    <comment ref="E30" authorId="0" shapeId="0" xr:uid="{0CABDFDA-9C4C-4A19-9236-C76476233F2E}">
      <text>
        <r>
          <rPr>
            <b/>
            <sz val="9"/>
            <color indexed="81"/>
            <rFont val="Tahoma"/>
            <charset val="1"/>
          </rPr>
          <t>Tony Koop:</t>
        </r>
        <r>
          <rPr>
            <sz val="9"/>
            <color indexed="81"/>
            <rFont val="Tahoma"/>
            <charset val="1"/>
          </rPr>
          <t xml:space="preserve">
Hemispherical profile: narrower at top (neck), widest at equator</t>
        </r>
      </text>
    </comment>
    <comment ref="E31" authorId="0" shapeId="0" xr:uid="{A76A16D2-98A7-4EBA-A8D8-F23839E6DDBB}">
      <text>
        <r>
          <rPr>
            <b/>
            <sz val="9"/>
            <color indexed="81"/>
            <rFont val="Tahoma"/>
            <charset val="1"/>
          </rPr>
          <t>Tony Koop:</t>
        </r>
        <r>
          <rPr>
            <sz val="9"/>
            <color indexed="81"/>
            <rFont val="Tahoma"/>
            <charset val="1"/>
          </rPr>
          <t xml:space="preserve">
Hemispherical profile: narrower at top (neck), widest at equator</t>
        </r>
      </text>
    </comment>
    <comment ref="E32" authorId="0" shapeId="0" xr:uid="{8B00F1A0-B1EF-4C7D-8581-DBB486DBAB7B}">
      <text>
        <r>
          <rPr>
            <b/>
            <sz val="9"/>
            <color indexed="81"/>
            <rFont val="Tahoma"/>
            <charset val="1"/>
          </rPr>
          <t>Tony Koop:</t>
        </r>
        <r>
          <rPr>
            <sz val="9"/>
            <color indexed="81"/>
            <rFont val="Tahoma"/>
            <charset val="1"/>
          </rPr>
          <t xml:space="preserve">
Hemispherical profile: narrower at top (neck), widest at equator</t>
        </r>
      </text>
    </comment>
    <comment ref="E33" authorId="0" shapeId="0" xr:uid="{6D2880FC-334F-4233-B763-A8899AAA946B}">
      <text>
        <r>
          <rPr>
            <b/>
            <sz val="9"/>
            <color indexed="81"/>
            <rFont val="Tahoma"/>
            <charset val="1"/>
          </rPr>
          <t>Tony Koop:</t>
        </r>
        <r>
          <rPr>
            <sz val="9"/>
            <color indexed="81"/>
            <rFont val="Tahoma"/>
            <charset val="1"/>
          </rPr>
          <t xml:space="preserve">
Hemispherical profile: narrower at top (neck), widest at equator</t>
        </r>
      </text>
    </comment>
    <comment ref="E34" authorId="0" shapeId="0" xr:uid="{0B7665D3-187F-4CD8-A78E-5733CFBD8E10}">
      <text>
        <r>
          <rPr>
            <b/>
            <sz val="9"/>
            <color indexed="81"/>
            <rFont val="Tahoma"/>
            <charset val="1"/>
          </rPr>
          <t>Tony Koop:</t>
        </r>
        <r>
          <rPr>
            <sz val="9"/>
            <color indexed="81"/>
            <rFont val="Tahoma"/>
            <charset val="1"/>
          </rPr>
          <t xml:space="preserve">
Hemispherical profile: narrower at top (neck), widest at equator</t>
        </r>
      </text>
    </comment>
    <comment ref="E35" authorId="0" shapeId="0" xr:uid="{CA085D89-5DDA-4334-9D5F-6AF3D3644281}">
      <text>
        <r>
          <rPr>
            <b/>
            <sz val="9"/>
            <color indexed="81"/>
            <rFont val="Tahoma"/>
            <charset val="1"/>
          </rPr>
          <t>Tony Koop:</t>
        </r>
        <r>
          <rPr>
            <sz val="9"/>
            <color indexed="81"/>
            <rFont val="Tahoma"/>
            <charset val="1"/>
          </rPr>
          <t xml:space="preserve">
Hemispherical profile: narrower at top (neck), widest at equator</t>
        </r>
      </text>
    </comment>
    <comment ref="E36" authorId="0" shapeId="0" xr:uid="{646FAF83-BF83-49C5-AD62-ECDB689E680F}">
      <text>
        <r>
          <rPr>
            <b/>
            <sz val="9"/>
            <color indexed="81"/>
            <rFont val="Tahoma"/>
            <charset val="1"/>
          </rPr>
          <t>Tony Koop:</t>
        </r>
        <r>
          <rPr>
            <sz val="9"/>
            <color indexed="81"/>
            <rFont val="Tahoma"/>
            <charset val="1"/>
          </rPr>
          <t xml:space="preserve">
Hemispherical profile: narrower at top (neck), widest at equator</t>
        </r>
      </text>
    </comment>
    <comment ref="E37" authorId="0" shapeId="0" xr:uid="{D73475A6-70C0-4200-8E5A-C62B490465C5}">
      <text>
        <r>
          <rPr>
            <b/>
            <sz val="9"/>
            <color indexed="81"/>
            <rFont val="Tahoma"/>
            <charset val="1"/>
          </rPr>
          <t>Tony Koop:</t>
        </r>
        <r>
          <rPr>
            <sz val="9"/>
            <color indexed="81"/>
            <rFont val="Tahoma"/>
            <charset val="1"/>
          </rPr>
          <t xml:space="preserve">
Hemispherical profile: narrower at top (neck), widest at equator</t>
        </r>
      </text>
    </comment>
    <comment ref="E38" authorId="0" shapeId="0" xr:uid="{892BC570-F97F-4495-833D-5080C8580C39}">
      <text>
        <r>
          <rPr>
            <b/>
            <sz val="9"/>
            <color indexed="81"/>
            <rFont val="Tahoma"/>
            <charset val="1"/>
          </rPr>
          <t>Tony Koop:</t>
        </r>
        <r>
          <rPr>
            <sz val="9"/>
            <color indexed="81"/>
            <rFont val="Tahoma"/>
            <charset val="1"/>
          </rPr>
          <t xml:space="preserve">
Hemispherical profile: narrower at top (neck), widest at equator</t>
        </r>
      </text>
    </comment>
    <comment ref="E39" authorId="0" shapeId="0" xr:uid="{F1B41626-1C00-46E9-8409-977333B1C8F4}">
      <text>
        <r>
          <rPr>
            <b/>
            <sz val="9"/>
            <color indexed="81"/>
            <rFont val="Tahoma"/>
            <charset val="1"/>
          </rPr>
          <t>Tony Koop:</t>
        </r>
        <r>
          <rPr>
            <sz val="9"/>
            <color indexed="81"/>
            <rFont val="Tahoma"/>
            <charset val="1"/>
          </rPr>
          <t xml:space="preserve">
Hemispherical profile: narrower at top (neck), widest at equator</t>
        </r>
      </text>
    </comment>
    <comment ref="E40" authorId="0" shapeId="0" xr:uid="{1D297FCF-7648-4E35-B8BE-BBF6878E3983}">
      <text>
        <r>
          <rPr>
            <b/>
            <sz val="9"/>
            <color indexed="81"/>
            <rFont val="Tahoma"/>
            <charset val="1"/>
          </rPr>
          <t>Tony Koop:</t>
        </r>
        <r>
          <rPr>
            <sz val="9"/>
            <color indexed="81"/>
            <rFont val="Tahoma"/>
            <charset val="1"/>
          </rPr>
          <t xml:space="preserve">
Hemispherical profile: narrower at top (neck), widest at equator</t>
        </r>
      </text>
    </comment>
    <comment ref="E41" authorId="0" shapeId="0" xr:uid="{B3C43CBB-9FAD-44AF-BB17-B429B20CEDBC}">
      <text>
        <r>
          <rPr>
            <b/>
            <sz val="9"/>
            <color indexed="81"/>
            <rFont val="Tahoma"/>
            <charset val="1"/>
          </rPr>
          <t>Tony Koop:</t>
        </r>
        <r>
          <rPr>
            <sz val="9"/>
            <color indexed="81"/>
            <rFont val="Tahoma"/>
            <charset val="1"/>
          </rPr>
          <t xml:space="preserve">
Hemispherical profile: narrower at top (neck), widest at equator</t>
        </r>
      </text>
    </comment>
    <comment ref="I42" authorId="0" shapeId="0" xr:uid="{5C85434A-CF46-43FE-AAF4-42172B4822C3}">
      <text>
        <r>
          <rPr>
            <b/>
            <sz val="9"/>
            <color indexed="81"/>
            <rFont val="Tahoma"/>
            <charset val="1"/>
          </rPr>
          <t>Tony Koop:</t>
        </r>
        <r>
          <rPr>
            <sz val="9"/>
            <color indexed="81"/>
            <rFont val="Tahoma"/>
            <charset val="1"/>
          </rPr>
          <t xml:space="preserve">
Should match B24 (total pieces)</t>
        </r>
      </text>
    </comment>
    <comment ref="K59" authorId="0" shapeId="0" xr:uid="{F57EF3A5-B376-408D-9E14-782583F80818}">
      <text>
        <r>
          <rPr>
            <b/>
            <sz val="9"/>
            <color indexed="81"/>
            <rFont val="Tahoma"/>
            <charset val="1"/>
          </rPr>
          <t>Tony Koop:</t>
        </r>
        <r>
          <rPr>
            <sz val="9"/>
            <color indexed="81"/>
            <rFont val="Tahoma"/>
            <charset val="1"/>
          </rPr>
          <t xml:space="preserve">
⚠️ Over 80% breaking — risk of breakage. Increase vibrating length or reduce treble tension.</t>
        </r>
      </text>
    </comment>
    <comment ref="K60" authorId="0" shapeId="0" xr:uid="{B040CE72-8762-40D9-BF35-AC2DD3E1DFDD}">
      <text>
        <r>
          <rPr>
            <b/>
            <sz val="9"/>
            <color indexed="81"/>
            <rFont val="Tahoma"/>
            <charset val="1"/>
          </rPr>
          <t>Tony Koop:</t>
        </r>
        <r>
          <rPr>
            <sz val="9"/>
            <color indexed="81"/>
            <rFont val="Tahoma"/>
            <charset val="1"/>
          </rPr>
          <t xml:space="preserve">
⚠️ Over 80% breaking</t>
        </r>
      </text>
    </comment>
    <comment ref="K61" authorId="0" shapeId="0" xr:uid="{0027EB67-5968-4807-AC5F-AA8F3153BE02}">
      <text>
        <r>
          <rPr>
            <b/>
            <sz val="9"/>
            <color indexed="81"/>
            <rFont val="Tahoma"/>
            <charset val="1"/>
          </rPr>
          <t>Tony Koop:</t>
        </r>
        <r>
          <rPr>
            <sz val="9"/>
            <color indexed="81"/>
            <rFont val="Tahoma"/>
            <charset val="1"/>
          </rPr>
          <t xml:space="preserve">
⚠️ Over 80% breaking</t>
        </r>
      </text>
    </comment>
    <comment ref="K62" authorId="0" shapeId="0" xr:uid="{245F2040-6816-4B0B-A32C-0E80BF287524}">
      <text>
        <r>
          <rPr>
            <b/>
            <sz val="9"/>
            <color indexed="81"/>
            <rFont val="Tahoma"/>
            <charset val="1"/>
          </rPr>
          <t>Tony Koop:</t>
        </r>
        <r>
          <rPr>
            <sz val="9"/>
            <color indexed="81"/>
            <rFont val="Tahoma"/>
            <charset val="1"/>
          </rPr>
          <t xml:space="preserve">
⚠️ Over 80% breaking</t>
        </r>
      </text>
    </comment>
    <comment ref="K63" authorId="0" shapeId="0" xr:uid="{34635E4E-9729-42A5-8E19-2B44591C2115}">
      <text>
        <r>
          <rPr>
            <b/>
            <sz val="9"/>
            <color indexed="81"/>
            <rFont val="Tahoma"/>
            <charset val="1"/>
          </rPr>
          <t>Tony Koop:</t>
        </r>
        <r>
          <rPr>
            <sz val="9"/>
            <color indexed="81"/>
            <rFont val="Tahoma"/>
            <charset val="1"/>
          </rPr>
          <t xml:space="preserve">
⚠️ Over 80% breaking</t>
        </r>
      </text>
    </comment>
    <comment ref="K76" authorId="0" shapeId="0" xr:uid="{82120395-9F51-43C6-BC97-4E4AB203A1AF}">
      <text>
        <r>
          <rPr>
            <b/>
            <sz val="9"/>
            <color indexed="81"/>
            <rFont val="Tahoma"/>
            <charset val="1"/>
          </rPr>
          <t>Tony Koop:</t>
        </r>
        <r>
          <rPr>
            <sz val="9"/>
            <color indexed="81"/>
            <rFont val="Tahoma"/>
            <charset val="1"/>
          </rPr>
          <t xml:space="preserve">
⚠️ Wound string over 80% breaking — increase vibrating length or use heavier gauge</t>
        </r>
      </text>
    </comment>
    <comment ref="L79" authorId="0" shapeId="0" xr:uid="{165CE19F-B0FD-44B1-BFDD-0035968013E0}">
      <text>
        <r>
          <rPr>
            <b/>
            <sz val="9"/>
            <color indexed="81"/>
            <rFont val="Tahoma"/>
            <charset val="1"/>
          </rPr>
          <t>Tony Koop:</t>
        </r>
        <r>
          <rPr>
            <sz val="9"/>
            <color indexed="81"/>
            <rFont val="Tahoma"/>
            <charset val="1"/>
          </rPr>
          <t xml:space="preserve">
String 21 doubles string 20 (F3) — traditional kora has both hands share the bass F</t>
        </r>
      </text>
    </comment>
    <comment ref="E103" authorId="0" shapeId="0" xr:uid="{336E6E80-CAF7-4BB6-B057-E8274601F733}">
      <text>
        <r>
          <rPr>
            <b/>
            <sz val="9"/>
            <color indexed="81"/>
            <rFont val="Tahoma"/>
            <charset val="1"/>
          </rPr>
          <t>Tony Koop:</t>
        </r>
        <r>
          <rPr>
            <sz val="9"/>
            <color indexed="81"/>
            <rFont val="Tahoma"/>
            <charset val="1"/>
          </rPr>
          <t xml:space="preserve">
Height × max width × thickness — see stave bowl section above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7" authorId="0" shapeId="0" xr:uid="{66980F92-293A-4FF1-9137-8B0A71E25851}">
      <text>
        <r>
          <rPr>
            <b/>
            <sz val="9"/>
            <color indexed="81"/>
            <rFont val="Tahoma"/>
            <charset val="1"/>
          </rPr>
          <t>Tony Koop:</t>
        </r>
        <r>
          <rPr>
            <sz val="9"/>
            <color indexed="81"/>
            <rFont val="Tahoma"/>
            <charset val="1"/>
          </rPr>
          <t xml:space="preserve">
~25 cm small donso</t>
        </r>
      </text>
    </comment>
    <comment ref="C7" authorId="0" shapeId="0" xr:uid="{D096E476-72C1-46FA-9AF8-0B6478B1D199}">
      <text>
        <r>
          <rPr>
            <b/>
            <sz val="9"/>
            <color indexed="81"/>
            <rFont val="Tahoma"/>
            <charset val="1"/>
          </rPr>
          <t>Tony Koop:</t>
        </r>
        <r>
          <rPr>
            <sz val="9"/>
            <color indexed="81"/>
            <rFont val="Tahoma"/>
            <charset val="1"/>
          </rPr>
          <t xml:space="preserve">
~32 cm Kaypacha small</t>
        </r>
      </text>
    </comment>
    <comment ref="D7" authorId="0" shapeId="0" xr:uid="{719D9656-E8BC-49AF-B8BF-D1FBB7B53BF9}">
      <text>
        <r>
          <rPr>
            <b/>
            <sz val="9"/>
            <color indexed="81"/>
            <rFont val="Tahoma"/>
            <charset val="1"/>
          </rPr>
          <t>Tony Koop:</t>
        </r>
        <r>
          <rPr>
            <sz val="9"/>
            <color indexed="81"/>
            <rFont val="Tahoma"/>
            <charset val="1"/>
          </rPr>
          <t xml:space="preserve">
~45 cm Kaypacha large</t>
        </r>
      </text>
    </comment>
    <comment ref="E30" authorId="0" shapeId="0" xr:uid="{69B2A863-7C89-46C4-ABE0-9849B440FE90}">
      <text>
        <r>
          <rPr>
            <b/>
            <sz val="9"/>
            <color indexed="81"/>
            <rFont val="Tahoma"/>
            <charset val="1"/>
          </rPr>
          <t>Tony Koop:</t>
        </r>
        <r>
          <rPr>
            <sz val="9"/>
            <color indexed="81"/>
            <rFont val="Tahoma"/>
            <charset val="1"/>
          </rPr>
          <t xml:space="preserve">
Hemispherical profile for Kamele 10 bowl</t>
        </r>
      </text>
    </comment>
    <comment ref="E31" authorId="0" shapeId="0" xr:uid="{D2EE5E00-88CF-420A-85C8-89ACD7A32E58}">
      <text>
        <r>
          <rPr>
            <b/>
            <sz val="9"/>
            <color indexed="81"/>
            <rFont val="Tahoma"/>
            <charset val="1"/>
          </rPr>
          <t>Tony Koop:</t>
        </r>
        <r>
          <rPr>
            <sz val="9"/>
            <color indexed="81"/>
            <rFont val="Tahoma"/>
            <charset val="1"/>
          </rPr>
          <t xml:space="preserve">
Hemispherical profile for Kamele 10 bowl</t>
        </r>
      </text>
    </comment>
    <comment ref="E32" authorId="0" shapeId="0" xr:uid="{2F54C06B-EAB4-4A6B-8A40-CF4769DBE034}">
      <text>
        <r>
          <rPr>
            <b/>
            <sz val="9"/>
            <color indexed="81"/>
            <rFont val="Tahoma"/>
            <charset val="1"/>
          </rPr>
          <t>Tony Koop:</t>
        </r>
        <r>
          <rPr>
            <sz val="9"/>
            <color indexed="81"/>
            <rFont val="Tahoma"/>
            <charset val="1"/>
          </rPr>
          <t xml:space="preserve">
Hemispherical profile for Kamele 10 bowl</t>
        </r>
      </text>
    </comment>
    <comment ref="E33" authorId="0" shapeId="0" xr:uid="{1BA372A9-93A0-4EF7-86F6-8CED5D0C0D9E}">
      <text>
        <r>
          <rPr>
            <b/>
            <sz val="9"/>
            <color indexed="81"/>
            <rFont val="Tahoma"/>
            <charset val="1"/>
          </rPr>
          <t>Tony Koop:</t>
        </r>
        <r>
          <rPr>
            <sz val="9"/>
            <color indexed="81"/>
            <rFont val="Tahoma"/>
            <charset val="1"/>
          </rPr>
          <t xml:space="preserve">
Hemispherical profile for Kamele 10 bowl</t>
        </r>
      </text>
    </comment>
    <comment ref="E34" authorId="0" shapeId="0" xr:uid="{24640C61-BD92-42FB-924C-A12A9B5B5CF5}">
      <text>
        <r>
          <rPr>
            <b/>
            <sz val="9"/>
            <color indexed="81"/>
            <rFont val="Tahoma"/>
            <charset val="1"/>
          </rPr>
          <t>Tony Koop:</t>
        </r>
        <r>
          <rPr>
            <sz val="9"/>
            <color indexed="81"/>
            <rFont val="Tahoma"/>
            <charset val="1"/>
          </rPr>
          <t xml:space="preserve">
Hemispherical profile for Kamele 10 bowl</t>
        </r>
      </text>
    </comment>
    <comment ref="E35" authorId="0" shapeId="0" xr:uid="{289930CA-725C-4D38-A390-8D532D4C5551}">
      <text>
        <r>
          <rPr>
            <b/>
            <sz val="9"/>
            <color indexed="81"/>
            <rFont val="Tahoma"/>
            <charset val="1"/>
          </rPr>
          <t>Tony Koop:</t>
        </r>
        <r>
          <rPr>
            <sz val="9"/>
            <color indexed="81"/>
            <rFont val="Tahoma"/>
            <charset val="1"/>
          </rPr>
          <t xml:space="preserve">
Hemispherical profile for Kamele 10 bowl</t>
        </r>
      </text>
    </comment>
    <comment ref="E36" authorId="0" shapeId="0" xr:uid="{2A42AF04-95E4-46D5-A76A-1F158F54DE62}">
      <text>
        <r>
          <rPr>
            <b/>
            <sz val="9"/>
            <color indexed="81"/>
            <rFont val="Tahoma"/>
            <charset val="1"/>
          </rPr>
          <t>Tony Koop:</t>
        </r>
        <r>
          <rPr>
            <sz val="9"/>
            <color indexed="81"/>
            <rFont val="Tahoma"/>
            <charset val="1"/>
          </rPr>
          <t xml:space="preserve">
Hemispherical profile for Kamele 10 bowl</t>
        </r>
      </text>
    </comment>
    <comment ref="E37" authorId="0" shapeId="0" xr:uid="{804F5F69-F460-4A15-8743-F30480102C3F}">
      <text>
        <r>
          <rPr>
            <b/>
            <sz val="9"/>
            <color indexed="81"/>
            <rFont val="Tahoma"/>
            <charset val="1"/>
          </rPr>
          <t>Tony Koop:</t>
        </r>
        <r>
          <rPr>
            <sz val="9"/>
            <color indexed="81"/>
            <rFont val="Tahoma"/>
            <charset val="1"/>
          </rPr>
          <t xml:space="preserve">
Hemispherical profile for Kamele 10 bowl</t>
        </r>
      </text>
    </comment>
    <comment ref="E38" authorId="0" shapeId="0" xr:uid="{5A0DD205-C5DC-4AB2-9066-46ED4A32EAD3}">
      <text>
        <r>
          <rPr>
            <b/>
            <sz val="9"/>
            <color indexed="81"/>
            <rFont val="Tahoma"/>
            <charset val="1"/>
          </rPr>
          <t>Tony Koop:</t>
        </r>
        <r>
          <rPr>
            <sz val="9"/>
            <color indexed="81"/>
            <rFont val="Tahoma"/>
            <charset val="1"/>
          </rPr>
          <t xml:space="preserve">
Hemispherical profile for Kamele 10 bowl</t>
        </r>
      </text>
    </comment>
    <comment ref="E39" authorId="0" shapeId="0" xr:uid="{3329CE60-87E1-40BD-BA95-C84C14F6059C}">
      <text>
        <r>
          <rPr>
            <b/>
            <sz val="9"/>
            <color indexed="81"/>
            <rFont val="Tahoma"/>
            <charset val="1"/>
          </rPr>
          <t>Tony Koop:</t>
        </r>
        <r>
          <rPr>
            <sz val="9"/>
            <color indexed="81"/>
            <rFont val="Tahoma"/>
            <charset val="1"/>
          </rPr>
          <t xml:space="preserve">
Hemispherical profile for Kamele 10 bowl</t>
        </r>
      </text>
    </comment>
    <comment ref="E40" authorId="0" shapeId="0" xr:uid="{26594BB1-1C19-4A76-B590-ACFCC1D8E229}">
      <text>
        <r>
          <rPr>
            <b/>
            <sz val="9"/>
            <color indexed="81"/>
            <rFont val="Tahoma"/>
            <charset val="1"/>
          </rPr>
          <t>Tony Koop:</t>
        </r>
        <r>
          <rPr>
            <sz val="9"/>
            <color indexed="81"/>
            <rFont val="Tahoma"/>
            <charset val="1"/>
          </rPr>
          <t xml:space="preserve">
Hemispherical profile for Kamele 10 bowl</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6" authorId="0" shapeId="0" xr:uid="{185500E0-4EB0-4464-AA67-F475D2C3C4A1}">
      <text>
        <r>
          <rPr>
            <b/>
            <sz val="9"/>
            <color indexed="81"/>
            <rFont val="Tahoma"/>
            <charset val="1"/>
          </rPr>
          <t>Tony Koop:</t>
        </r>
        <r>
          <rPr>
            <sz val="9"/>
            <color indexed="81"/>
            <rFont val="Tahoma"/>
            <charset val="1"/>
          </rPr>
          <t xml:space="preserve">
62 cm standard Arabic oud</t>
        </r>
      </text>
    </comment>
    <comment ref="C6" authorId="0" shapeId="0" xr:uid="{7891EEDA-A590-424B-A68F-F6C26A2B67BD}">
      <text>
        <r>
          <rPr>
            <b/>
            <sz val="9"/>
            <color indexed="81"/>
            <rFont val="Tahoma"/>
            <charset val="1"/>
          </rPr>
          <t>Tony Koop:</t>
        </r>
        <r>
          <rPr>
            <sz val="9"/>
            <color indexed="81"/>
            <rFont val="Tahoma"/>
            <charset val="1"/>
          </rPr>
          <t xml:space="preserve">
60 cm Renaissance lute</t>
        </r>
      </text>
    </comment>
    <comment ref="B7" authorId="0" shapeId="0" xr:uid="{DECE572B-A7E6-4810-B15A-1A5EB6EA876E}">
      <text>
        <r>
          <rPr>
            <b/>
            <sz val="9"/>
            <color indexed="81"/>
            <rFont val="Tahoma"/>
            <charset val="1"/>
          </rPr>
          <t>Tony Koop:</t>
        </r>
        <r>
          <rPr>
            <sz val="9"/>
            <color indexed="81"/>
            <rFont val="Tahoma"/>
            <charset val="1"/>
          </rPr>
          <t xml:space="preserve">
50 cm</t>
        </r>
      </text>
    </comment>
    <comment ref="C7" authorId="0" shapeId="0" xr:uid="{DAFB549B-9E2B-4D71-9FE0-E9BB523270CE}">
      <text>
        <r>
          <rPr>
            <b/>
            <sz val="9"/>
            <color indexed="81"/>
            <rFont val="Tahoma"/>
            <charset val="1"/>
          </rPr>
          <t>Tony Koop:</t>
        </r>
        <r>
          <rPr>
            <sz val="9"/>
            <color indexed="81"/>
            <rFont val="Tahoma"/>
            <charset val="1"/>
          </rPr>
          <t xml:space="preserve">
47 cm</t>
        </r>
      </text>
    </comment>
    <comment ref="B8" authorId="0" shapeId="0" xr:uid="{10A46B99-8771-4C75-8133-A3587F10E171}">
      <text>
        <r>
          <rPr>
            <b/>
            <sz val="9"/>
            <color indexed="81"/>
            <rFont val="Tahoma"/>
            <charset val="1"/>
          </rPr>
          <t>Tony Koop:</t>
        </r>
        <r>
          <rPr>
            <sz val="9"/>
            <color indexed="81"/>
            <rFont val="Tahoma"/>
            <charset val="1"/>
          </rPr>
          <t xml:space="preserve">
36 cm</t>
        </r>
      </text>
    </comment>
    <comment ref="C8" authorId="0" shapeId="0" xr:uid="{1C06C46D-D2FE-49A4-955E-60FEBF87FF97}">
      <text>
        <r>
          <rPr>
            <b/>
            <sz val="9"/>
            <color indexed="81"/>
            <rFont val="Tahoma"/>
            <charset val="1"/>
          </rPr>
          <t>Tony Koop:</t>
        </r>
        <r>
          <rPr>
            <sz val="9"/>
            <color indexed="81"/>
            <rFont val="Tahoma"/>
            <charset val="1"/>
          </rPr>
          <t xml:space="preserve">
33 cm</t>
        </r>
      </text>
    </comment>
    <comment ref="B9" authorId="0" shapeId="0" xr:uid="{A3BF8EF0-E577-4EC1-84A0-CA5E453C9BF0}">
      <text>
        <r>
          <rPr>
            <b/>
            <sz val="9"/>
            <color indexed="81"/>
            <rFont val="Tahoma"/>
            <charset val="1"/>
          </rPr>
          <t>Tony Koop:</t>
        </r>
        <r>
          <rPr>
            <sz val="9"/>
            <color indexed="81"/>
            <rFont val="Tahoma"/>
            <charset val="1"/>
          </rPr>
          <t xml:space="preserve">
20 cm</t>
        </r>
      </text>
    </comment>
    <comment ref="C9" authorId="0" shapeId="0" xr:uid="{64568922-95DF-4B84-A8EF-7089D0384CEE}">
      <text>
        <r>
          <rPr>
            <b/>
            <sz val="9"/>
            <color indexed="81"/>
            <rFont val="Tahoma"/>
            <charset val="1"/>
          </rPr>
          <t>Tony Koop:</t>
        </r>
        <r>
          <rPr>
            <sz val="9"/>
            <color indexed="81"/>
            <rFont val="Tahoma"/>
            <charset val="1"/>
          </rPr>
          <t xml:space="preserve">
18 cm</t>
        </r>
      </text>
    </comment>
    <comment ref="B11" authorId="0" shapeId="0" xr:uid="{966DEAD7-5B8A-438E-ACCC-13263D106DF4}">
      <text>
        <r>
          <rPr>
            <b/>
            <sz val="9"/>
            <color indexed="81"/>
            <rFont val="Tahoma"/>
            <charset val="1"/>
          </rPr>
          <t>Tony Koop:</t>
        </r>
        <r>
          <rPr>
            <sz val="9"/>
            <color indexed="81"/>
            <rFont val="Tahoma"/>
            <charset val="1"/>
          </rPr>
          <t xml:space="preserve">
Sofianos supplier spec</t>
        </r>
      </text>
    </comment>
    <comment ref="B13" authorId="0" shapeId="0" xr:uid="{C72B9E65-312A-460A-A4C0-B8C6F576C307}">
      <text>
        <r>
          <rPr>
            <b/>
            <sz val="9"/>
            <color indexed="81"/>
            <rFont val="Tahoma"/>
            <charset val="1"/>
          </rPr>
          <t>Tony Koop:</t>
        </r>
        <r>
          <rPr>
            <sz val="9"/>
            <color indexed="81"/>
            <rFont val="Tahoma"/>
            <charset val="1"/>
          </rPr>
          <t xml:space="preserve">
75 cm Sofianos</t>
        </r>
      </text>
    </comment>
    <comment ref="C13" authorId="0" shapeId="0" xr:uid="{960FFDA9-7A22-4BBD-87A6-F32E5D00AB33}">
      <text>
        <r>
          <rPr>
            <b/>
            <sz val="9"/>
            <color indexed="81"/>
            <rFont val="Tahoma"/>
            <charset val="1"/>
          </rPr>
          <t>Tony Koop:</t>
        </r>
        <r>
          <rPr>
            <sz val="9"/>
            <color indexed="81"/>
            <rFont val="Tahoma"/>
            <charset val="1"/>
          </rPr>
          <t xml:space="preserve">
70 cm</t>
        </r>
      </text>
    </comment>
    <comment ref="B21" authorId="0" shapeId="0" xr:uid="{82054E37-0D52-46A5-9CA5-476CF33AABCF}">
      <text>
        <r>
          <rPr>
            <b/>
            <sz val="9"/>
            <color indexed="81"/>
            <rFont val="Tahoma"/>
            <charset val="1"/>
          </rPr>
          <t>Tony Koop:</t>
        </r>
        <r>
          <rPr>
            <sz val="9"/>
            <color indexed="81"/>
            <rFont val="Tahoma"/>
            <charset val="1"/>
          </rPr>
          <t xml:space="preserve">
Oud strings run lighter than guitar — 3-5 lbs typical</t>
        </r>
      </text>
    </comment>
    <comment ref="C21" authorId="0" shapeId="0" xr:uid="{38BD31BF-7CA1-4921-B56C-FD397A582B67}">
      <text>
        <r>
          <rPr>
            <b/>
            <sz val="9"/>
            <color indexed="81"/>
            <rFont val="Tahoma"/>
            <charset val="1"/>
          </rPr>
          <t>Tony Koop:</t>
        </r>
        <r>
          <rPr>
            <sz val="9"/>
            <color indexed="81"/>
            <rFont val="Tahoma"/>
            <charset val="1"/>
          </rPr>
          <t xml:space="preserve">
Lute strings similarly light</t>
        </r>
      </text>
    </comment>
    <comment ref="B26" authorId="0" shapeId="0" xr:uid="{489F8E7B-BE6C-4416-8DDC-4CCB375A56D0}">
      <text>
        <r>
          <rPr>
            <b/>
            <sz val="9"/>
            <color indexed="81"/>
            <rFont val="Tahoma"/>
            <charset val="1"/>
          </rPr>
          <t>Tony Koop:</t>
        </r>
        <r>
          <rPr>
            <sz val="9"/>
            <color indexed="81"/>
            <rFont val="Tahoma"/>
            <charset val="1"/>
          </rPr>
          <t xml:space="preserve">
Rule: 1 hour per inch of thickness</t>
        </r>
      </text>
    </comment>
    <comment ref="H49" authorId="0" shapeId="0" xr:uid="{DF722B3C-DEA3-4EB4-826F-9394A2A4262F}">
      <text>
        <r>
          <rPr>
            <b/>
            <sz val="9"/>
            <color indexed="81"/>
            <rFont val="Tahoma"/>
            <charset val="1"/>
          </rPr>
          <t>Tony Koop:</t>
        </r>
        <r>
          <rPr>
            <sz val="9"/>
            <color indexed="81"/>
            <rFont val="Tahoma"/>
            <charset val="1"/>
          </rPr>
          <t xml:space="preserve">
⚠️ Nylon cannot sustain C5 at 24.4" scale. Use fluorocarbon (σ_break ~80,000 psi) or gut (σ_break ~55,000 psi) for courses 1-2.</t>
        </r>
      </text>
    </comment>
    <comment ref="H50" authorId="0" shapeId="0" xr:uid="{196395D5-3161-4C06-BA57-DEC047978ED6}">
      <text>
        <r>
          <rPr>
            <b/>
            <sz val="9"/>
            <color indexed="81"/>
            <rFont val="Tahoma"/>
            <charset val="1"/>
          </rPr>
          <t>Tony Koop:</t>
        </r>
        <r>
          <rPr>
            <sz val="9"/>
            <color indexed="81"/>
            <rFont val="Tahoma"/>
            <charset val="1"/>
          </rPr>
          <t xml:space="preserve">
⚠️ Over 80% breaking with nylon</t>
        </r>
      </text>
    </comment>
    <comment ref="E60" authorId="0" shapeId="0" xr:uid="{BD55C54D-E26C-4B03-9465-801324A4A5F1}">
      <text>
        <r>
          <rPr>
            <b/>
            <sz val="9"/>
            <color indexed="81"/>
            <rFont val="Tahoma"/>
            <charset val="1"/>
          </rPr>
          <t>Tony Koop:</t>
        </r>
        <r>
          <rPr>
            <sz val="9"/>
            <color indexed="81"/>
            <rFont val="Tahoma"/>
            <charset val="1"/>
          </rPr>
          <t xml:space="preserve">
Single string chanterelle</t>
        </r>
      </text>
    </comment>
    <comment ref="H60" authorId="0" shapeId="0" xr:uid="{5C463257-3891-4AAE-B6E7-4EA5BEC6B12F}">
      <text>
        <r>
          <rPr>
            <b/>
            <sz val="9"/>
            <color indexed="81"/>
            <rFont val="Tahoma"/>
            <charset val="1"/>
          </rPr>
          <t>Tony Koop:</t>
        </r>
        <r>
          <rPr>
            <sz val="9"/>
            <color indexed="81"/>
            <rFont val="Tahoma"/>
            <charset val="1"/>
          </rPr>
          <t xml:space="preserve">
Marginal — fluorocarbon or gut recommended for treble chanterelle</t>
        </r>
      </text>
    </comment>
    <comment ref="E61" authorId="0" shapeId="0" xr:uid="{19E7411E-FE0A-4C33-A791-37C088A4D365}">
      <text>
        <r>
          <rPr>
            <b/>
            <sz val="9"/>
            <color indexed="81"/>
            <rFont val="Tahoma"/>
            <charset val="1"/>
          </rPr>
          <t>Tony Koop:</t>
        </r>
        <r>
          <rPr>
            <sz val="9"/>
            <color indexed="81"/>
            <rFont val="Tahoma"/>
            <charset val="1"/>
          </rPr>
          <t xml:space="preserve">
Single string chanterelle</t>
        </r>
      </text>
    </comment>
    <comment ref="E62" authorId="0" shapeId="0" xr:uid="{5A86BD76-7879-461D-9C39-4DF4778CDE3B}">
      <text>
        <r>
          <rPr>
            <b/>
            <sz val="9"/>
            <color indexed="81"/>
            <rFont val="Tahoma"/>
            <charset val="1"/>
          </rPr>
          <t>Tony Koop:</t>
        </r>
        <r>
          <rPr>
            <sz val="9"/>
            <color indexed="81"/>
            <rFont val="Tahoma"/>
            <charset val="1"/>
          </rPr>
          <t xml:space="preserve">
Single string chanterelle</t>
        </r>
      </text>
    </comment>
    <comment ref="E63" authorId="0" shapeId="0" xr:uid="{266EE250-B4E8-40A2-9B6F-BD06196A7A98}">
      <text>
        <r>
          <rPr>
            <b/>
            <sz val="9"/>
            <color indexed="81"/>
            <rFont val="Tahoma"/>
            <charset val="1"/>
          </rPr>
          <t>Tony Koop:</t>
        </r>
        <r>
          <rPr>
            <sz val="9"/>
            <color indexed="81"/>
            <rFont val="Tahoma"/>
            <charset val="1"/>
          </rPr>
          <t xml:space="preserve">
Single string chanterelle</t>
        </r>
      </text>
    </comment>
    <comment ref="E64" authorId="0" shapeId="0" xr:uid="{D03FE810-E1BE-4AAB-9BAE-1DEDE640307B}">
      <text>
        <r>
          <rPr>
            <b/>
            <sz val="9"/>
            <color indexed="81"/>
            <rFont val="Tahoma"/>
            <charset val="1"/>
          </rPr>
          <t>Tony Koop:</t>
        </r>
        <r>
          <rPr>
            <sz val="9"/>
            <color indexed="81"/>
            <rFont val="Tahoma"/>
            <charset val="1"/>
          </rPr>
          <t xml:space="preserve">
Single string chanterelle</t>
        </r>
      </text>
    </comment>
    <comment ref="E65" authorId="0" shapeId="0" xr:uid="{6F609BB7-72BA-4014-A82F-779C788C0A5E}">
      <text>
        <r>
          <rPr>
            <b/>
            <sz val="9"/>
            <color indexed="81"/>
            <rFont val="Tahoma"/>
            <charset val="1"/>
          </rPr>
          <t>Tony Koop:</t>
        </r>
        <r>
          <rPr>
            <sz val="9"/>
            <color indexed="81"/>
            <rFont val="Tahoma"/>
            <charset val="1"/>
          </rPr>
          <t xml:space="preserve">
Single string chanterelle</t>
        </r>
      </text>
    </comment>
    <comment ref="E66" authorId="0" shapeId="0" xr:uid="{502C3900-68EA-4287-869E-CC1CAA25039F}">
      <text>
        <r>
          <rPr>
            <b/>
            <sz val="9"/>
            <color indexed="81"/>
            <rFont val="Tahoma"/>
            <charset val="1"/>
          </rPr>
          <t>Tony Koop:</t>
        </r>
        <r>
          <rPr>
            <sz val="9"/>
            <color indexed="81"/>
            <rFont val="Tahoma"/>
            <charset val="1"/>
          </rPr>
          <t xml:space="preserve">
Single string chanterelle</t>
        </r>
      </text>
    </comment>
    <comment ref="E67" authorId="0" shapeId="0" xr:uid="{5F688FD8-3600-4910-8F7F-E8DAE22D45C6}">
      <text>
        <r>
          <rPr>
            <b/>
            <sz val="9"/>
            <color indexed="81"/>
            <rFont val="Tahoma"/>
            <charset val="1"/>
          </rPr>
          <t>Tony Koop:</t>
        </r>
        <r>
          <rPr>
            <sz val="9"/>
            <color indexed="81"/>
            <rFont val="Tahoma"/>
            <charset val="1"/>
          </rPr>
          <t xml:space="preserve">
Single string chanterelle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5" authorId="0" shapeId="0" xr:uid="{FA270004-05FF-4335-A203-DB031907757E}">
      <text>
        <r>
          <rPr>
            <b/>
            <sz val="9"/>
            <color indexed="81"/>
            <rFont val="Tahoma"/>
            <charset val="1"/>
          </rPr>
          <t>Tony Koop:</t>
        </r>
        <r>
          <rPr>
            <sz val="9"/>
            <color indexed="81"/>
            <rFont val="Tahoma"/>
            <charset val="1"/>
          </rPr>
          <t xml:space="preserve">
53 cm standard — 95% of handpans use this size</t>
        </r>
      </text>
    </comment>
    <comment ref="B6" authorId="0" shapeId="0" xr:uid="{9DE720B7-3188-46BA-8201-766F6E0DD12D}">
      <text>
        <r>
          <rPr>
            <b/>
            <sz val="9"/>
            <color indexed="81"/>
            <rFont val="Tahoma"/>
            <charset val="1"/>
          </rPr>
          <t>Tony Koop:</t>
        </r>
        <r>
          <rPr>
            <sz val="9"/>
            <color indexed="81"/>
            <rFont val="Tahoma"/>
            <charset val="1"/>
          </rPr>
          <t xml:space="preserve">
24 cm typical depth</t>
        </r>
      </text>
    </comment>
    <comment ref="B8" authorId="0" shapeId="0" xr:uid="{2C4670B8-2D09-4C59-8633-64AE2114EF51}">
      <text>
        <r>
          <rPr>
            <b/>
            <sz val="9"/>
            <color indexed="81"/>
            <rFont val="Tahoma"/>
            <charset val="1"/>
          </rPr>
          <t>Tony Koop:</t>
        </r>
        <r>
          <rPr>
            <sz val="9"/>
            <color indexed="81"/>
            <rFont val="Tahoma"/>
            <charset val="1"/>
          </rPr>
          <t xml:space="preserve">
Affects Helmholtz bass frequency</t>
        </r>
      </text>
    </comment>
    <comment ref="E38" authorId="0" shapeId="0" xr:uid="{D71C939A-B342-49D8-9361-A98C259865E0}">
      <text>
        <r>
          <rPr>
            <b/>
            <sz val="9"/>
            <color indexed="81"/>
            <rFont val="Tahoma"/>
            <charset val="1"/>
          </rPr>
          <t>Tony Koop:</t>
        </r>
        <r>
          <rPr>
            <sz val="9"/>
            <color indexed="81"/>
            <rFont val="Tahoma"/>
            <charset val="1"/>
          </rPr>
          <t xml:space="preserve">
Octave above fundamental</t>
        </r>
      </text>
    </comment>
    <comment ref="F38" authorId="0" shapeId="0" xr:uid="{3C987ADB-B311-4418-BD9F-66E6AC11491D}">
      <text>
        <r>
          <rPr>
            <b/>
            <sz val="9"/>
            <color indexed="81"/>
            <rFont val="Tahoma"/>
            <charset val="1"/>
          </rPr>
          <t>Tony Koop:</t>
        </r>
        <r>
          <rPr>
            <sz val="9"/>
            <color indexed="81"/>
            <rFont val="Tahoma"/>
            <charset val="1"/>
          </rPr>
          <t xml:space="preserve">
Compound 5th (12th) = 3× fundamental</t>
        </r>
      </text>
    </comment>
    <comment ref="I38" authorId="0" shapeId="0" xr:uid="{A601FF82-CBBE-4DD1-ABCC-27F00F2A10F0}">
      <text>
        <r>
          <rPr>
            <b/>
            <sz val="9"/>
            <color indexed="81"/>
            <rFont val="Tahoma"/>
            <charset val="1"/>
          </rPr>
          <t>Tony Koop:</t>
        </r>
        <r>
          <rPr>
            <sz val="9"/>
            <color indexed="81"/>
            <rFont val="Tahoma"/>
            <charset val="1"/>
          </rPr>
          <t xml:space="preserve">
Ding is the center dome, not an oval field</t>
        </r>
      </text>
    </comment>
    <comment ref="E39" authorId="0" shapeId="0" xr:uid="{8D42037F-CD8D-4D51-828F-815F05E796EE}">
      <text>
        <r>
          <rPr>
            <b/>
            <sz val="9"/>
            <color indexed="81"/>
            <rFont val="Tahoma"/>
            <charset val="1"/>
          </rPr>
          <t>Tony Koop:</t>
        </r>
        <r>
          <rPr>
            <sz val="9"/>
            <color indexed="81"/>
            <rFont val="Tahoma"/>
            <charset val="1"/>
          </rPr>
          <t xml:space="preserve">
Octave above fundamental</t>
        </r>
      </text>
    </comment>
    <comment ref="F39" authorId="0" shapeId="0" xr:uid="{AAA1EB22-1386-49A4-8642-2EA2DC82B39C}">
      <text>
        <r>
          <rPr>
            <b/>
            <sz val="9"/>
            <color indexed="81"/>
            <rFont val="Tahoma"/>
            <charset val="1"/>
          </rPr>
          <t>Tony Koop:</t>
        </r>
        <r>
          <rPr>
            <sz val="9"/>
            <color indexed="81"/>
            <rFont val="Tahoma"/>
            <charset val="1"/>
          </rPr>
          <t xml:space="preserve">
Compound 5th (12th) = 3× fundamental</t>
        </r>
      </text>
    </comment>
    <comment ref="I39" authorId="0" shapeId="0" xr:uid="{1E162BE5-6B50-4C5D-AA4B-42EAF85553F5}">
      <text>
        <r>
          <rPr>
            <b/>
            <sz val="9"/>
            <color indexed="81"/>
            <rFont val="Tahoma"/>
            <charset val="1"/>
          </rPr>
          <t>Empirical: lower freq = larger field. Reference: A3 (220Hz) ≈ 3.5" wide</t>
        </r>
      </text>
    </comment>
    <comment ref="J39" authorId="0" shapeId="0" xr:uid="{032D88EF-8A14-460C-BDB1-B923BAA9435F}">
      <text>
        <r>
          <rPr>
            <b/>
            <sz val="9"/>
            <color indexed="81"/>
            <rFont val="Tahoma"/>
            <charset val="1"/>
          </rPr>
          <t>Tony Koop:</t>
        </r>
        <r>
          <rPr>
            <sz val="9"/>
            <color indexed="81"/>
            <rFont val="Tahoma"/>
            <charset val="1"/>
          </rPr>
          <t xml:space="preserve">
Height ≈ 1.3× width (oval)</t>
        </r>
      </text>
    </comment>
    <comment ref="I40" authorId="0" shapeId="0" xr:uid="{E0DBA95F-DA3E-43D4-9F8C-DB41478B2575}">
      <text>
        <r>
          <rPr>
            <b/>
            <sz val="9"/>
            <color indexed="81"/>
            <rFont val="Tahoma"/>
            <charset val="1"/>
          </rPr>
          <t>Empirical: lower freq = larger field. Reference: A3 (220Hz) ≈ 3.5" wide</t>
        </r>
      </text>
    </comment>
    <comment ref="J40" authorId="0" shapeId="0" xr:uid="{9F795B71-34B2-4B18-B8F2-8262D1DC70FF}">
      <text>
        <r>
          <rPr>
            <b/>
            <sz val="9"/>
            <color indexed="81"/>
            <rFont val="Tahoma"/>
            <charset val="1"/>
          </rPr>
          <t>Tony Koop:</t>
        </r>
        <r>
          <rPr>
            <sz val="9"/>
            <color indexed="81"/>
            <rFont val="Tahoma"/>
            <charset val="1"/>
          </rPr>
          <t xml:space="preserve">
Height ≈ 1.3× width (oval)</t>
        </r>
      </text>
    </comment>
    <comment ref="I41" authorId="0" shapeId="0" xr:uid="{1A2BC4C3-C606-479B-9CE4-A905757B261C}">
      <text>
        <r>
          <rPr>
            <b/>
            <sz val="9"/>
            <color indexed="81"/>
            <rFont val="Tahoma"/>
            <charset val="1"/>
          </rPr>
          <t>Empirical: lower freq = larger field. Reference: A3 (220Hz) ≈ 3.5" wide</t>
        </r>
      </text>
    </comment>
    <comment ref="J41" authorId="0" shapeId="0" xr:uid="{903B696C-3F6A-4108-8343-FA29BC679605}">
      <text>
        <r>
          <rPr>
            <b/>
            <sz val="9"/>
            <color indexed="81"/>
            <rFont val="Tahoma"/>
            <charset val="1"/>
          </rPr>
          <t>Tony Koop:</t>
        </r>
        <r>
          <rPr>
            <sz val="9"/>
            <color indexed="81"/>
            <rFont val="Tahoma"/>
            <charset val="1"/>
          </rPr>
          <t xml:space="preserve">
Height ≈ 1.3× width (oval)</t>
        </r>
      </text>
    </comment>
    <comment ref="I42" authorId="0" shapeId="0" xr:uid="{5F0724D8-736E-4AA9-AA39-58C02ECCE431}">
      <text>
        <r>
          <rPr>
            <b/>
            <sz val="9"/>
            <color indexed="81"/>
            <rFont val="Tahoma"/>
            <charset val="1"/>
          </rPr>
          <t>Empirical: lower freq = larger field. Reference: A3 (220Hz) ≈ 3.5" wide</t>
        </r>
      </text>
    </comment>
    <comment ref="J42" authorId="0" shapeId="0" xr:uid="{93F527B3-8DAC-46CE-BCA2-CE3D8DE0FC9D}">
      <text>
        <r>
          <rPr>
            <b/>
            <sz val="9"/>
            <color indexed="81"/>
            <rFont val="Tahoma"/>
            <charset val="1"/>
          </rPr>
          <t>Tony Koop:</t>
        </r>
        <r>
          <rPr>
            <sz val="9"/>
            <color indexed="81"/>
            <rFont val="Tahoma"/>
            <charset val="1"/>
          </rPr>
          <t xml:space="preserve">
Height ≈ 1.3× width (oval)</t>
        </r>
      </text>
    </comment>
    <comment ref="I43" authorId="0" shapeId="0" xr:uid="{17963F49-E91C-4D95-895B-84435771D065}">
      <text>
        <r>
          <rPr>
            <b/>
            <sz val="9"/>
            <color indexed="81"/>
            <rFont val="Tahoma"/>
            <charset val="1"/>
          </rPr>
          <t>Empirical: lower freq = larger field. Reference: A3 (220Hz) ≈ 3.5" wide</t>
        </r>
      </text>
    </comment>
    <comment ref="J43" authorId="0" shapeId="0" xr:uid="{BC309A8F-367E-40E0-9F9C-7D06F4ADDC2F}">
      <text>
        <r>
          <rPr>
            <b/>
            <sz val="9"/>
            <color indexed="81"/>
            <rFont val="Tahoma"/>
            <charset val="1"/>
          </rPr>
          <t>Tony Koop:</t>
        </r>
        <r>
          <rPr>
            <sz val="9"/>
            <color indexed="81"/>
            <rFont val="Tahoma"/>
            <charset val="1"/>
          </rPr>
          <t xml:space="preserve">
Height ≈ 1.3× width (oval)</t>
        </r>
      </text>
    </comment>
    <comment ref="I44" authorId="0" shapeId="0" xr:uid="{0B2F676A-400E-47AA-BA81-A3FA36C25E75}">
      <text>
        <r>
          <rPr>
            <b/>
            <sz val="9"/>
            <color indexed="81"/>
            <rFont val="Tahoma"/>
            <charset val="1"/>
          </rPr>
          <t>Empirical: lower freq = larger field. Reference: A3 (220Hz) ≈ 3.5" wide</t>
        </r>
      </text>
    </comment>
    <comment ref="J44" authorId="0" shapeId="0" xr:uid="{2EC96B73-DFFD-4CA2-8B71-AF62F96ABEC6}">
      <text>
        <r>
          <rPr>
            <b/>
            <sz val="9"/>
            <color indexed="81"/>
            <rFont val="Tahoma"/>
            <charset val="1"/>
          </rPr>
          <t>Tony Koop:</t>
        </r>
        <r>
          <rPr>
            <sz val="9"/>
            <color indexed="81"/>
            <rFont val="Tahoma"/>
            <charset val="1"/>
          </rPr>
          <t xml:space="preserve">
Height ≈ 1.3× width (oval)</t>
        </r>
      </text>
    </comment>
    <comment ref="I45" authorId="0" shapeId="0" xr:uid="{7206A9E6-0812-4169-A96C-88554A224420}">
      <text>
        <r>
          <rPr>
            <b/>
            <sz val="9"/>
            <color indexed="81"/>
            <rFont val="Tahoma"/>
            <charset val="1"/>
          </rPr>
          <t>Empirical: lower freq = larger field. Reference: A3 (220Hz) ≈ 3.5" wide</t>
        </r>
      </text>
    </comment>
    <comment ref="J45" authorId="0" shapeId="0" xr:uid="{F41E8CA1-C1C0-4FCB-B986-AC6B435F696E}">
      <text>
        <r>
          <rPr>
            <b/>
            <sz val="9"/>
            <color indexed="81"/>
            <rFont val="Tahoma"/>
            <charset val="1"/>
          </rPr>
          <t>Tony Koop:</t>
        </r>
        <r>
          <rPr>
            <sz val="9"/>
            <color indexed="81"/>
            <rFont val="Tahoma"/>
            <charset val="1"/>
          </rPr>
          <t xml:space="preserve">
Height ≈ 1.3× width (oval)</t>
        </r>
      </text>
    </comment>
    <comment ref="I46" authorId="0" shapeId="0" xr:uid="{5E498218-F5B0-493E-89F1-F0CE87B7BF4F}">
      <text>
        <r>
          <rPr>
            <b/>
            <sz val="9"/>
            <color indexed="81"/>
            <rFont val="Tahoma"/>
            <charset val="1"/>
          </rPr>
          <t>Empirical: lower freq = larger field. Reference: A3 (220Hz) ≈ 3.5" wide</t>
        </r>
      </text>
    </comment>
    <comment ref="J46" authorId="0" shapeId="0" xr:uid="{F6CC59BA-4F60-4C6C-A86C-47B7B17774B1}">
      <text>
        <r>
          <rPr>
            <b/>
            <sz val="9"/>
            <color indexed="81"/>
            <rFont val="Tahoma"/>
            <charset val="1"/>
          </rPr>
          <t>Tony Koop:</t>
        </r>
        <r>
          <rPr>
            <sz val="9"/>
            <color indexed="81"/>
            <rFont val="Tahoma"/>
            <charset val="1"/>
          </rPr>
          <t xml:space="preserve">
Height ≈ 1.3× width (oval)</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5" authorId="0" shapeId="0" xr:uid="{E095C0D6-3FD3-41B3-AF90-503F0A0BD09E}">
      <text>
        <r>
          <rPr>
            <b/>
            <sz val="9"/>
            <color indexed="81"/>
            <rFont val="Tahoma"/>
            <charset val="1"/>
          </rPr>
          <t>Tony Koop:</t>
        </r>
        <r>
          <rPr>
            <sz val="9"/>
            <color indexed="81"/>
            <rFont val="Tahoma"/>
            <charset val="1"/>
          </rPr>
          <t xml:space="preserve">
Common sizes: 6", 8", 10", 12", 14". Larger = deeper range.</t>
        </r>
      </text>
    </comment>
    <comment ref="B7" authorId="0" shapeId="0" xr:uid="{B2CA8134-3EA7-4E7A-B424-E23C87CF99C4}">
      <text>
        <r>
          <rPr>
            <b/>
            <sz val="9"/>
            <color indexed="81"/>
            <rFont val="Tahoma"/>
            <charset val="1"/>
          </rPr>
          <t>Tony Koop:</t>
        </r>
        <r>
          <rPr>
            <sz val="9"/>
            <color indexed="81"/>
            <rFont val="Tahoma"/>
            <charset val="1"/>
          </rPr>
          <t xml:space="preserve">
2mm = 0.079". Typical range: 1.5-3mm (0.059-0.118"). Thicker = higher pitch, louder, harder to cut.</t>
        </r>
      </text>
    </comment>
    <comment ref="B8" authorId="0" shapeId="0" xr:uid="{10FFE77C-9B57-4C8B-9464-CA7620B2941D}">
      <text>
        <r>
          <rPr>
            <b/>
            <sz val="9"/>
            <color indexed="81"/>
            <rFont val="Tahoma"/>
            <charset val="1"/>
          </rPr>
          <t>Tony Koop:</t>
        </r>
        <r>
          <rPr>
            <sz val="9"/>
            <color indexed="81"/>
            <rFont val="Tahoma"/>
            <charset val="1"/>
          </rPr>
          <t xml:space="preserve">
~1mm. Laser: 0.01-0.02". Plasma: 0.04-0.06". CNC endmill: 0.125" (too wide).</t>
        </r>
      </text>
    </comment>
    <comment ref="B10" authorId="0" shapeId="0" xr:uid="{0BAC809C-3D36-4549-ABE8-98E9F13B613B}">
      <text>
        <r>
          <rPr>
            <b/>
            <sz val="9"/>
            <color indexed="81"/>
            <rFont val="Tahoma"/>
            <charset val="1"/>
          </rPr>
          <t>Tony Koop:</t>
        </r>
        <r>
          <rPr>
            <sz val="9"/>
            <color indexed="81"/>
            <rFont val="Tahoma"/>
            <charset val="1"/>
          </rPr>
          <t xml:space="preserve">
Width affects volume and sustain but NOT frequency. Wider = louder.</t>
        </r>
      </text>
    </comment>
    <comment ref="B12" authorId="0" shapeId="0" xr:uid="{B500E719-0A48-4E14-9B88-CC30BA0A62B8}">
      <text>
        <r>
          <rPr>
            <b/>
            <sz val="9"/>
            <color indexed="81"/>
            <rFont val="Tahoma"/>
            <charset val="1"/>
          </rPr>
          <t>Tony Koop:</t>
        </r>
        <r>
          <rPr>
            <sz val="9"/>
            <color indexed="81"/>
            <rFont val="Tahoma"/>
            <charset val="1"/>
          </rPr>
          <t xml:space="preserve">
Bottom center hole for Helmholtz resonance + rubber feet</t>
        </r>
      </text>
    </comment>
    <comment ref="B24" authorId="0" shapeId="0" xr:uid="{B60797CF-618D-4840-8577-D1A5EE2FD5E6}">
      <text>
        <r>
          <rPr>
            <b/>
            <sz val="9"/>
            <color indexed="81"/>
            <rFont val="Tahoma"/>
            <charset val="1"/>
          </rPr>
          <t>Tony Koop:</t>
        </r>
        <r>
          <rPr>
            <sz val="9"/>
            <color indexed="81"/>
            <rFont val="Tahoma"/>
            <charset val="1"/>
          </rPr>
          <t xml:space="preserve">
Copy K value from the steel type you're using. Default = Carbon Steel.</t>
        </r>
      </text>
    </comment>
    <comment ref="B27" authorId="0" shapeId="0" xr:uid="{78E1DCCF-32FC-4390-8BE4-6EC0FDFB5B39}">
      <text>
        <r>
          <rPr>
            <b/>
            <sz val="9"/>
            <color indexed="81"/>
            <rFont val="Tahoma"/>
            <charset val="1"/>
          </rPr>
          <t>Tony Koop:</t>
        </r>
        <r>
          <rPr>
            <sz val="9"/>
            <color indexed="81"/>
            <rFont val="Tahoma"/>
            <charset val="1"/>
          </rPr>
          <t xml:space="preserve">
Lenticular volume ≈ (2/3) × πr²h for two shallow hemispheres</t>
        </r>
      </text>
    </comment>
    <comment ref="B29" authorId="0" shapeId="0" xr:uid="{BE22E74D-2ADD-4506-AD49-511780303ABB}">
      <text>
        <r>
          <rPr>
            <b/>
            <sz val="9"/>
            <color indexed="81"/>
            <rFont val="Tahoma"/>
            <charset val="1"/>
          </rPr>
          <t>Tony Koop:</t>
        </r>
        <r>
          <rPr>
            <sz val="9"/>
            <color indexed="81"/>
            <rFont val="Tahoma"/>
            <charset val="1"/>
          </rPr>
          <t xml:space="preserve">
Steel thickness + end correction (0.85×radius for flanged port)</t>
        </r>
      </text>
    </comment>
    <comment ref="E48" authorId="0" shapeId="0" xr:uid="{0750F142-4081-466D-B661-F65875C320DC}">
      <text>
        <r>
          <rPr>
            <b/>
            <sz val="9"/>
            <color indexed="81"/>
            <rFont val="Tahoma"/>
            <charset val="1"/>
          </rPr>
          <t>Tony Koop:</t>
        </r>
        <r>
          <rPr>
            <sz val="9"/>
            <color indexed="81"/>
            <rFont val="Tahoma"/>
            <charset val="1"/>
          </rPr>
          <t xml:space="preserve">
L = sqrt(K * thickness / freq)</t>
        </r>
      </text>
    </comment>
    <comment ref="H48" authorId="0" shapeId="0" xr:uid="{BC36462D-95AE-418D-8A1A-459963350E99}">
      <text>
        <r>
          <rPr>
            <b/>
            <sz val="9"/>
            <color indexed="81"/>
            <rFont val="Tahoma"/>
            <charset val="1"/>
          </rPr>
          <t>Tony Koop:</t>
        </r>
        <r>
          <rPr>
            <sz val="9"/>
            <color indexed="81"/>
            <rFont val="Tahoma"/>
            <charset val="1"/>
          </rPr>
          <t xml:space="preserve">
Slit total = 2 x tongue_length + width + 2 x kerf</t>
        </r>
      </text>
    </comment>
    <comment ref="I48" authorId="0" shapeId="0" xr:uid="{2DEFF45C-1C6B-42BE-A489-99D3E74B9E75}">
      <text>
        <r>
          <rPr>
            <b/>
            <sz val="9"/>
            <color indexed="81"/>
            <rFont val="Tahoma"/>
            <charset val="1"/>
          </rPr>
          <t>Tony Koop:</t>
        </r>
        <r>
          <rPr>
            <sz val="9"/>
            <color indexed="81"/>
            <rFont val="Tahoma"/>
            <charset val="1"/>
          </rPr>
          <t xml:space="preserve">
Tongue must fit within radius minus 1 in Ding clearance</t>
        </r>
      </text>
    </comment>
    <comment ref="E49" authorId="0" shapeId="0" xr:uid="{FA0F8104-960B-4BAB-9DF8-12C99058D744}">
      <text>
        <r>
          <rPr>
            <b/>
            <sz val="9"/>
            <color indexed="81"/>
            <rFont val="Tahoma"/>
            <charset val="1"/>
          </rPr>
          <t>Tony Koop:</t>
        </r>
        <r>
          <rPr>
            <sz val="9"/>
            <color indexed="81"/>
            <rFont val="Tahoma"/>
            <charset val="1"/>
          </rPr>
          <t xml:space="preserve">
L = sqrt(K * thickness / freq)</t>
        </r>
      </text>
    </comment>
    <comment ref="H49" authorId="0" shapeId="0" xr:uid="{AC2DA9EC-7A9E-4B5D-B458-35495867C0C4}">
      <text>
        <r>
          <rPr>
            <b/>
            <sz val="9"/>
            <color indexed="81"/>
            <rFont val="Tahoma"/>
            <charset val="1"/>
          </rPr>
          <t>Tony Koop:</t>
        </r>
        <r>
          <rPr>
            <sz val="9"/>
            <color indexed="81"/>
            <rFont val="Tahoma"/>
            <charset val="1"/>
          </rPr>
          <t xml:space="preserve">
Slit total = 2 x tongue_length + width + 2 x kerf</t>
        </r>
      </text>
    </comment>
    <comment ref="I49" authorId="0" shapeId="0" xr:uid="{807D93B0-F147-4180-8597-159E5651A3A1}">
      <text>
        <r>
          <rPr>
            <b/>
            <sz val="9"/>
            <color indexed="81"/>
            <rFont val="Tahoma"/>
            <charset val="1"/>
          </rPr>
          <t>Tony Koop:</t>
        </r>
        <r>
          <rPr>
            <sz val="9"/>
            <color indexed="81"/>
            <rFont val="Tahoma"/>
            <charset val="1"/>
          </rPr>
          <t xml:space="preserve">
Tongue must fit within radius minus 1 in Ding clearance</t>
        </r>
      </text>
    </comment>
    <comment ref="E50" authorId="0" shapeId="0" xr:uid="{0A0B6817-9FB7-45C6-8907-DCD448D390D3}">
      <text>
        <r>
          <rPr>
            <b/>
            <sz val="9"/>
            <color indexed="81"/>
            <rFont val="Tahoma"/>
            <charset val="1"/>
          </rPr>
          <t>Tony Koop:</t>
        </r>
        <r>
          <rPr>
            <sz val="9"/>
            <color indexed="81"/>
            <rFont val="Tahoma"/>
            <charset val="1"/>
          </rPr>
          <t xml:space="preserve">
L = sqrt(K * thickness / freq)</t>
        </r>
      </text>
    </comment>
    <comment ref="H50" authorId="0" shapeId="0" xr:uid="{5ABB9192-3802-43EF-9F8D-27C789F4456C}">
      <text>
        <r>
          <rPr>
            <b/>
            <sz val="9"/>
            <color indexed="81"/>
            <rFont val="Tahoma"/>
            <charset val="1"/>
          </rPr>
          <t>Tony Koop:</t>
        </r>
        <r>
          <rPr>
            <sz val="9"/>
            <color indexed="81"/>
            <rFont val="Tahoma"/>
            <charset val="1"/>
          </rPr>
          <t xml:space="preserve">
Slit total = 2 x tongue_length + width + 2 x kerf</t>
        </r>
      </text>
    </comment>
    <comment ref="I50" authorId="0" shapeId="0" xr:uid="{BC79D0D0-D0DF-4438-8EBC-88210440808C}">
      <text>
        <r>
          <rPr>
            <b/>
            <sz val="9"/>
            <color indexed="81"/>
            <rFont val="Tahoma"/>
            <charset val="1"/>
          </rPr>
          <t>Tony Koop:</t>
        </r>
        <r>
          <rPr>
            <sz val="9"/>
            <color indexed="81"/>
            <rFont val="Tahoma"/>
            <charset val="1"/>
          </rPr>
          <t xml:space="preserve">
Tongue must fit within radius minus 1 in Ding clearance</t>
        </r>
      </text>
    </comment>
    <comment ref="E51" authorId="0" shapeId="0" xr:uid="{0AF8862F-B96F-4D8C-AD8F-8D6A7C53DFE9}">
      <text>
        <r>
          <rPr>
            <b/>
            <sz val="9"/>
            <color indexed="81"/>
            <rFont val="Tahoma"/>
            <charset val="1"/>
          </rPr>
          <t>Tony Koop:</t>
        </r>
        <r>
          <rPr>
            <sz val="9"/>
            <color indexed="81"/>
            <rFont val="Tahoma"/>
            <charset val="1"/>
          </rPr>
          <t xml:space="preserve">
L = sqrt(K * thickness / freq)</t>
        </r>
      </text>
    </comment>
    <comment ref="H51" authorId="0" shapeId="0" xr:uid="{48E65FB0-66F3-4080-8FCB-23AE8548D749}">
      <text>
        <r>
          <rPr>
            <b/>
            <sz val="9"/>
            <color indexed="81"/>
            <rFont val="Tahoma"/>
            <charset val="1"/>
          </rPr>
          <t>Tony Koop:</t>
        </r>
        <r>
          <rPr>
            <sz val="9"/>
            <color indexed="81"/>
            <rFont val="Tahoma"/>
            <charset val="1"/>
          </rPr>
          <t xml:space="preserve">
Slit total = 2 x tongue_length + width + 2 x kerf</t>
        </r>
      </text>
    </comment>
    <comment ref="I51" authorId="0" shapeId="0" xr:uid="{78D5E8E4-24DA-48E6-93A1-ABF64B9677D9}">
      <text>
        <r>
          <rPr>
            <b/>
            <sz val="9"/>
            <color indexed="81"/>
            <rFont val="Tahoma"/>
            <charset val="1"/>
          </rPr>
          <t>Tony Koop:</t>
        </r>
        <r>
          <rPr>
            <sz val="9"/>
            <color indexed="81"/>
            <rFont val="Tahoma"/>
            <charset val="1"/>
          </rPr>
          <t xml:space="preserve">
Tongue must fit within radius minus 1 in Ding clearance</t>
        </r>
      </text>
    </comment>
    <comment ref="E52" authorId="0" shapeId="0" xr:uid="{85762E3C-CF45-46CA-94D6-EAB3BA458824}">
      <text>
        <r>
          <rPr>
            <b/>
            <sz val="9"/>
            <color indexed="81"/>
            <rFont val="Tahoma"/>
            <charset val="1"/>
          </rPr>
          <t>Tony Koop:</t>
        </r>
        <r>
          <rPr>
            <sz val="9"/>
            <color indexed="81"/>
            <rFont val="Tahoma"/>
            <charset val="1"/>
          </rPr>
          <t xml:space="preserve">
L = sqrt(K * thickness / freq)</t>
        </r>
      </text>
    </comment>
    <comment ref="H52" authorId="0" shapeId="0" xr:uid="{298DA867-4451-48BD-B29F-F656EA753231}">
      <text>
        <r>
          <rPr>
            <b/>
            <sz val="9"/>
            <color indexed="81"/>
            <rFont val="Tahoma"/>
            <charset val="1"/>
          </rPr>
          <t>Tony Koop:</t>
        </r>
        <r>
          <rPr>
            <sz val="9"/>
            <color indexed="81"/>
            <rFont val="Tahoma"/>
            <charset val="1"/>
          </rPr>
          <t xml:space="preserve">
Slit total = 2 x tongue_length + width + 2 x kerf</t>
        </r>
      </text>
    </comment>
    <comment ref="I52" authorId="0" shapeId="0" xr:uid="{4F4C14EB-B5CE-4F39-9000-80FE87FEB455}">
      <text>
        <r>
          <rPr>
            <b/>
            <sz val="9"/>
            <color indexed="81"/>
            <rFont val="Tahoma"/>
            <charset val="1"/>
          </rPr>
          <t>Tony Koop:</t>
        </r>
        <r>
          <rPr>
            <sz val="9"/>
            <color indexed="81"/>
            <rFont val="Tahoma"/>
            <charset val="1"/>
          </rPr>
          <t xml:space="preserve">
Tongue must fit within radius minus 1 in Ding clearance</t>
        </r>
      </text>
    </comment>
    <comment ref="E53" authorId="0" shapeId="0" xr:uid="{98C87A0B-052C-46D3-8E26-61A3815FFCFC}">
      <text>
        <r>
          <rPr>
            <b/>
            <sz val="9"/>
            <color indexed="81"/>
            <rFont val="Tahoma"/>
            <charset val="1"/>
          </rPr>
          <t>Tony Koop:</t>
        </r>
        <r>
          <rPr>
            <sz val="9"/>
            <color indexed="81"/>
            <rFont val="Tahoma"/>
            <charset val="1"/>
          </rPr>
          <t xml:space="preserve">
L = sqrt(K * thickness / freq)</t>
        </r>
      </text>
    </comment>
    <comment ref="H53" authorId="0" shapeId="0" xr:uid="{ACC2C20B-85FF-440F-83F1-DA55A01F62A3}">
      <text>
        <r>
          <rPr>
            <b/>
            <sz val="9"/>
            <color indexed="81"/>
            <rFont val="Tahoma"/>
            <charset val="1"/>
          </rPr>
          <t>Tony Koop:</t>
        </r>
        <r>
          <rPr>
            <sz val="9"/>
            <color indexed="81"/>
            <rFont val="Tahoma"/>
            <charset val="1"/>
          </rPr>
          <t xml:space="preserve">
Slit total = 2 x tongue_length + width + 2 x kerf</t>
        </r>
      </text>
    </comment>
    <comment ref="I53" authorId="0" shapeId="0" xr:uid="{F15FA518-FAEC-45D5-9E72-5AE3550863E4}">
      <text>
        <r>
          <rPr>
            <b/>
            <sz val="9"/>
            <color indexed="81"/>
            <rFont val="Tahoma"/>
            <charset val="1"/>
          </rPr>
          <t>Tony Koop:</t>
        </r>
        <r>
          <rPr>
            <sz val="9"/>
            <color indexed="81"/>
            <rFont val="Tahoma"/>
            <charset val="1"/>
          </rPr>
          <t xml:space="preserve">
Tongue must fit within radius minus 1 in Ding clearance</t>
        </r>
      </text>
    </comment>
    <comment ref="E54" authorId="0" shapeId="0" xr:uid="{6E7A1C3B-2651-4275-A3DA-5F10347BE4F7}">
      <text>
        <r>
          <rPr>
            <b/>
            <sz val="9"/>
            <color indexed="81"/>
            <rFont val="Tahoma"/>
            <charset val="1"/>
          </rPr>
          <t>Tony Koop:</t>
        </r>
        <r>
          <rPr>
            <sz val="9"/>
            <color indexed="81"/>
            <rFont val="Tahoma"/>
            <charset val="1"/>
          </rPr>
          <t xml:space="preserve">
L = sqrt(K * thickness / freq)</t>
        </r>
      </text>
    </comment>
    <comment ref="H54" authorId="0" shapeId="0" xr:uid="{4BC248FB-8DE3-477A-BCA4-D8C783BF5E1B}">
      <text>
        <r>
          <rPr>
            <b/>
            <sz val="9"/>
            <color indexed="81"/>
            <rFont val="Tahoma"/>
            <charset val="1"/>
          </rPr>
          <t>Tony Koop:</t>
        </r>
        <r>
          <rPr>
            <sz val="9"/>
            <color indexed="81"/>
            <rFont val="Tahoma"/>
            <charset val="1"/>
          </rPr>
          <t xml:space="preserve">
Slit total = 2 x tongue_length + width + 2 x kerf</t>
        </r>
      </text>
    </comment>
    <comment ref="I54" authorId="0" shapeId="0" xr:uid="{0031BFC4-8365-47DF-BE5C-22D3FE941B02}">
      <text>
        <r>
          <rPr>
            <b/>
            <sz val="9"/>
            <color indexed="81"/>
            <rFont val="Tahoma"/>
            <charset val="1"/>
          </rPr>
          <t>Tony Koop:</t>
        </r>
        <r>
          <rPr>
            <sz val="9"/>
            <color indexed="81"/>
            <rFont val="Tahoma"/>
            <charset val="1"/>
          </rPr>
          <t xml:space="preserve">
Tongue must fit within radius minus 1 in Ding clearance</t>
        </r>
      </text>
    </comment>
    <comment ref="E55" authorId="0" shapeId="0" xr:uid="{19CFFD0A-D58E-4687-950B-BA17E1396D63}">
      <text>
        <r>
          <rPr>
            <b/>
            <sz val="9"/>
            <color indexed="81"/>
            <rFont val="Tahoma"/>
            <charset val="1"/>
          </rPr>
          <t>Tony Koop:</t>
        </r>
        <r>
          <rPr>
            <sz val="9"/>
            <color indexed="81"/>
            <rFont val="Tahoma"/>
            <charset val="1"/>
          </rPr>
          <t xml:space="preserve">
L = sqrt(K * thickness / freq)</t>
        </r>
      </text>
    </comment>
    <comment ref="H55" authorId="0" shapeId="0" xr:uid="{8BCDB759-B54F-44E6-8BE5-81675BC2624D}">
      <text>
        <r>
          <rPr>
            <b/>
            <sz val="9"/>
            <color indexed="81"/>
            <rFont val="Tahoma"/>
            <charset val="1"/>
          </rPr>
          <t>Tony Koop:</t>
        </r>
        <r>
          <rPr>
            <sz val="9"/>
            <color indexed="81"/>
            <rFont val="Tahoma"/>
            <charset val="1"/>
          </rPr>
          <t xml:space="preserve">
Slit total = 2 x tongue_length + width + 2 x kerf</t>
        </r>
      </text>
    </comment>
    <comment ref="I55" authorId="0" shapeId="0" xr:uid="{80E7032D-D73D-4DB6-8B65-DF28ABB3CE12}">
      <text>
        <r>
          <rPr>
            <b/>
            <sz val="9"/>
            <color indexed="81"/>
            <rFont val="Tahoma"/>
            <charset val="1"/>
          </rPr>
          <t>Tony Koop:</t>
        </r>
        <r>
          <rPr>
            <sz val="9"/>
            <color indexed="81"/>
            <rFont val="Tahoma"/>
            <charset val="1"/>
          </rPr>
          <t xml:space="preserve">
Tongue must fit within radius minus 1 in Ding clearance</t>
        </r>
      </text>
    </comment>
    <comment ref="E56" authorId="0" shapeId="0" xr:uid="{6845F1FF-D593-4353-822F-9E6E7DD36181}">
      <text>
        <r>
          <rPr>
            <b/>
            <sz val="9"/>
            <color indexed="81"/>
            <rFont val="Tahoma"/>
            <charset val="1"/>
          </rPr>
          <t>Tony Koop:</t>
        </r>
        <r>
          <rPr>
            <sz val="9"/>
            <color indexed="81"/>
            <rFont val="Tahoma"/>
            <charset val="1"/>
          </rPr>
          <t xml:space="preserve">
L = sqrt(K * thickness / freq)</t>
        </r>
      </text>
    </comment>
    <comment ref="H56" authorId="0" shapeId="0" xr:uid="{FA52B62C-949A-44E0-A05C-5FEAA33B6AC2}">
      <text>
        <r>
          <rPr>
            <b/>
            <sz val="9"/>
            <color indexed="81"/>
            <rFont val="Tahoma"/>
            <charset val="1"/>
          </rPr>
          <t>Tony Koop:</t>
        </r>
        <r>
          <rPr>
            <sz val="9"/>
            <color indexed="81"/>
            <rFont val="Tahoma"/>
            <charset val="1"/>
          </rPr>
          <t xml:space="preserve">
Slit total = 2 x tongue_length + width + 2 x kerf</t>
        </r>
      </text>
    </comment>
    <comment ref="I56" authorId="0" shapeId="0" xr:uid="{EC1C2DCE-41DD-48B6-8B26-280F51CB401D}">
      <text>
        <r>
          <rPr>
            <b/>
            <sz val="9"/>
            <color indexed="81"/>
            <rFont val="Tahoma"/>
            <charset val="1"/>
          </rPr>
          <t>Tony Koop:</t>
        </r>
        <r>
          <rPr>
            <sz val="9"/>
            <color indexed="81"/>
            <rFont val="Tahoma"/>
            <charset val="1"/>
          </rPr>
          <t xml:space="preserve">
Tongue must fit within radius minus 1 in Ding clearance</t>
        </r>
      </text>
    </comment>
    <comment ref="E57" authorId="0" shapeId="0" xr:uid="{D41D1AAB-B18D-4C55-ABA9-AC74703D7840}">
      <text>
        <r>
          <rPr>
            <b/>
            <sz val="9"/>
            <color indexed="81"/>
            <rFont val="Tahoma"/>
            <charset val="1"/>
          </rPr>
          <t>Tony Koop:</t>
        </r>
        <r>
          <rPr>
            <sz val="9"/>
            <color indexed="81"/>
            <rFont val="Tahoma"/>
            <charset val="1"/>
          </rPr>
          <t xml:space="preserve">
L = sqrt(K * thickness / freq)</t>
        </r>
      </text>
    </comment>
    <comment ref="H57" authorId="0" shapeId="0" xr:uid="{88C5D041-3C7E-470D-8553-E989A819524E}">
      <text>
        <r>
          <rPr>
            <b/>
            <sz val="9"/>
            <color indexed="81"/>
            <rFont val="Tahoma"/>
            <charset val="1"/>
          </rPr>
          <t>Tony Koop:</t>
        </r>
        <r>
          <rPr>
            <sz val="9"/>
            <color indexed="81"/>
            <rFont val="Tahoma"/>
            <charset val="1"/>
          </rPr>
          <t xml:space="preserve">
Slit total = 2 x tongue_length + width + 2 x kerf</t>
        </r>
      </text>
    </comment>
    <comment ref="I57" authorId="0" shapeId="0" xr:uid="{2BFA88A8-32D0-48F7-8669-1C83C741A3BA}">
      <text>
        <r>
          <rPr>
            <b/>
            <sz val="9"/>
            <color indexed="81"/>
            <rFont val="Tahoma"/>
            <charset val="1"/>
          </rPr>
          <t>Tony Koop:</t>
        </r>
        <r>
          <rPr>
            <sz val="9"/>
            <color indexed="81"/>
            <rFont val="Tahoma"/>
            <charset val="1"/>
          </rPr>
          <t xml:space="preserve">
Tongue must fit within radius minus 1 in Ding clearance</t>
        </r>
      </text>
    </comment>
    <comment ref="E58" authorId="0" shapeId="0" xr:uid="{2BA253BC-A4BF-4761-8418-6012BB66A022}">
      <text>
        <r>
          <rPr>
            <b/>
            <sz val="9"/>
            <color indexed="81"/>
            <rFont val="Tahoma"/>
            <charset val="1"/>
          </rPr>
          <t>Tony Koop:</t>
        </r>
        <r>
          <rPr>
            <sz val="9"/>
            <color indexed="81"/>
            <rFont val="Tahoma"/>
            <charset val="1"/>
          </rPr>
          <t xml:space="preserve">
L = sqrt(K * thickness / freq)</t>
        </r>
      </text>
    </comment>
    <comment ref="H58" authorId="0" shapeId="0" xr:uid="{E2A4EA6F-BC56-460D-812C-5BB4ABC11F65}">
      <text>
        <r>
          <rPr>
            <b/>
            <sz val="9"/>
            <color indexed="81"/>
            <rFont val="Tahoma"/>
            <charset val="1"/>
          </rPr>
          <t>Tony Koop:</t>
        </r>
        <r>
          <rPr>
            <sz val="9"/>
            <color indexed="81"/>
            <rFont val="Tahoma"/>
            <charset val="1"/>
          </rPr>
          <t xml:space="preserve">
Slit total = 2 x tongue_length + width + 2 x kerf</t>
        </r>
      </text>
    </comment>
    <comment ref="I58" authorId="0" shapeId="0" xr:uid="{06C62815-1CDF-4CAB-A465-40CDDE07D5DB}">
      <text>
        <r>
          <rPr>
            <b/>
            <sz val="9"/>
            <color indexed="81"/>
            <rFont val="Tahoma"/>
            <charset val="1"/>
          </rPr>
          <t>Tony Koop:</t>
        </r>
        <r>
          <rPr>
            <sz val="9"/>
            <color indexed="81"/>
            <rFont val="Tahoma"/>
            <charset val="1"/>
          </rPr>
          <t xml:space="preserve">
Tongue must fit within radius minus 1 in Ding clearance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Tony Koop</author>
  </authors>
  <commentList>
    <comment ref="B30" authorId="0" shapeId="0" xr:uid="{2A9D5A4D-1A51-48BF-A229-A8651AABD34D}">
      <text>
        <r>
          <rPr>
            <b/>
            <sz val="9"/>
            <color indexed="81"/>
            <rFont val="Tahoma"/>
            <charset val="1"/>
          </rPr>
          <t>Tony Koop:</t>
        </r>
        <r>
          <rPr>
            <sz val="9"/>
            <color indexed="81"/>
            <rFont val="Tahoma"/>
            <charset val="1"/>
          </rPr>
          <t xml:space="preserve">
Bowl wall thickness at port — adjust if thinner/thicker</t>
        </r>
      </text>
    </comment>
    <comment ref="G38" authorId="0" shapeId="0" xr:uid="{11FB608B-81E8-46F4-A7F5-04F365B72349}">
      <text>
        <r>
          <rPr>
            <b/>
            <sz val="9"/>
            <color indexed="81"/>
            <rFont val="Tahoma"/>
            <charset val="1"/>
          </rPr>
          <t>Tony Koop:</t>
        </r>
        <r>
          <rPr>
            <sz val="9"/>
            <color indexed="81"/>
            <rFont val="Tahoma"/>
            <charset val="1"/>
          </rPr>
          <t xml:space="preserve">
Tongue length + kerf on each side</t>
        </r>
      </text>
    </comment>
    <comment ref="G39" authorId="0" shapeId="0" xr:uid="{1DD1BEA6-AF34-4F69-894A-845AA7BB4AE4}">
      <text>
        <r>
          <rPr>
            <b/>
            <sz val="9"/>
            <color indexed="81"/>
            <rFont val="Tahoma"/>
            <charset val="1"/>
          </rPr>
          <t>Tony Koop:</t>
        </r>
        <r>
          <rPr>
            <sz val="9"/>
            <color indexed="81"/>
            <rFont val="Tahoma"/>
            <charset val="1"/>
          </rPr>
          <t xml:space="preserve">
Tongue length + kerf on each side</t>
        </r>
      </text>
    </comment>
    <comment ref="G40" authorId="0" shapeId="0" xr:uid="{53E40F39-BFA3-4C8E-87AC-966E49B754AD}">
      <text>
        <r>
          <rPr>
            <b/>
            <sz val="9"/>
            <color indexed="81"/>
            <rFont val="Tahoma"/>
            <charset val="1"/>
          </rPr>
          <t>Tony Koop:</t>
        </r>
        <r>
          <rPr>
            <sz val="9"/>
            <color indexed="81"/>
            <rFont val="Tahoma"/>
            <charset val="1"/>
          </rPr>
          <t xml:space="preserve">
Tongue length + kerf on each side</t>
        </r>
      </text>
    </comment>
    <comment ref="G41" authorId="0" shapeId="0" xr:uid="{7DAB9CD5-3C73-4C5D-A2CA-2369291E5121}">
      <text>
        <r>
          <rPr>
            <b/>
            <sz val="9"/>
            <color indexed="81"/>
            <rFont val="Tahoma"/>
            <charset val="1"/>
          </rPr>
          <t>Tony Koop:</t>
        </r>
        <r>
          <rPr>
            <sz val="9"/>
            <color indexed="81"/>
            <rFont val="Tahoma"/>
            <charset val="1"/>
          </rPr>
          <t xml:space="preserve">
Tongue length + kerf on each side</t>
        </r>
      </text>
    </comment>
    <comment ref="G42" authorId="0" shapeId="0" xr:uid="{69CC3F47-5F24-4C73-9E21-D25B561015D3}">
      <text>
        <r>
          <rPr>
            <b/>
            <sz val="9"/>
            <color indexed="81"/>
            <rFont val="Tahoma"/>
            <charset val="1"/>
          </rPr>
          <t>Tony Koop:</t>
        </r>
        <r>
          <rPr>
            <sz val="9"/>
            <color indexed="81"/>
            <rFont val="Tahoma"/>
            <charset val="1"/>
          </rPr>
          <t xml:space="preserve">
Tongue length + kerf on each side</t>
        </r>
      </text>
    </comment>
    <comment ref="G43" authorId="0" shapeId="0" xr:uid="{8336A7B5-ABFE-4209-8D38-C38625D6A776}">
      <text>
        <r>
          <rPr>
            <b/>
            <sz val="9"/>
            <color indexed="81"/>
            <rFont val="Tahoma"/>
            <charset val="1"/>
          </rPr>
          <t>Tony Koop:</t>
        </r>
        <r>
          <rPr>
            <sz val="9"/>
            <color indexed="81"/>
            <rFont val="Tahoma"/>
            <charset val="1"/>
          </rPr>
          <t xml:space="preserve">
Tongue length + kerf on each side</t>
        </r>
      </text>
    </comment>
    <comment ref="G44" authorId="0" shapeId="0" xr:uid="{17884255-5371-493E-BBD5-FCB580F812CD}">
      <text>
        <r>
          <rPr>
            <b/>
            <sz val="9"/>
            <color indexed="81"/>
            <rFont val="Tahoma"/>
            <charset val="1"/>
          </rPr>
          <t>Tony Koop:</t>
        </r>
        <r>
          <rPr>
            <sz val="9"/>
            <color indexed="81"/>
            <rFont val="Tahoma"/>
            <charset val="1"/>
          </rPr>
          <t xml:space="preserve">
Tongue length + kerf on each side</t>
        </r>
      </text>
    </comment>
    <comment ref="G45" authorId="0" shapeId="0" xr:uid="{A69AE1E7-6ABE-4356-B7E0-E7F11687CECF}">
      <text>
        <r>
          <rPr>
            <b/>
            <sz val="9"/>
            <color indexed="81"/>
            <rFont val="Tahoma"/>
            <charset val="1"/>
          </rPr>
          <t>Tony Koop:</t>
        </r>
        <r>
          <rPr>
            <sz val="9"/>
            <color indexed="81"/>
            <rFont val="Tahoma"/>
            <charset val="1"/>
          </rPr>
          <t xml:space="preserve">
Tongue length + kerf on each side</t>
        </r>
      </text>
    </comment>
    <comment ref="G46" authorId="0" shapeId="0" xr:uid="{F80DFF48-1D2A-4924-AB08-DE57ACB2421C}">
      <text>
        <r>
          <rPr>
            <b/>
            <sz val="9"/>
            <color indexed="81"/>
            <rFont val="Tahoma"/>
            <charset val="1"/>
          </rPr>
          <t>Tony Koop:</t>
        </r>
        <r>
          <rPr>
            <sz val="9"/>
            <color indexed="81"/>
            <rFont val="Tahoma"/>
            <charset val="1"/>
          </rPr>
          <t xml:space="preserve">
Tongue length + kerf on each side</t>
        </r>
      </text>
    </comment>
    <comment ref="G47" authorId="0" shapeId="0" xr:uid="{696CAF04-80C8-4182-922A-49B64086CE25}">
      <text>
        <r>
          <rPr>
            <b/>
            <sz val="9"/>
            <color indexed="81"/>
            <rFont val="Tahoma"/>
            <charset val="1"/>
          </rPr>
          <t>Tony Koop:</t>
        </r>
        <r>
          <rPr>
            <sz val="9"/>
            <color indexed="81"/>
            <rFont val="Tahoma"/>
            <charset val="1"/>
          </rPr>
          <t xml:space="preserve">
Tongue length + kerf on each side</t>
        </r>
      </text>
    </comment>
    <comment ref="G48" authorId="0" shapeId="0" xr:uid="{543EA89B-5DA5-4C9E-8B2F-103B14FFDA8A}">
      <text>
        <r>
          <rPr>
            <b/>
            <sz val="9"/>
            <color indexed="81"/>
            <rFont val="Tahoma"/>
            <charset val="1"/>
          </rPr>
          <t>Tony Koop:</t>
        </r>
        <r>
          <rPr>
            <sz val="9"/>
            <color indexed="81"/>
            <rFont val="Tahoma"/>
            <charset val="1"/>
          </rPr>
          <t xml:space="preserve">
Tongue length + kerf on each side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<sst xmlns="http://schemas.openxmlformats.org/spreadsheetml/2006/main" count="15372" uniqueCount="7565">
  <si>
    <t xml:space="preserve"> </t>
  </si>
  <si>
    <t>Piano Key #</t>
  </si>
  <si>
    <t>Notes</t>
  </si>
  <si>
    <t>Variable Name</t>
  </si>
  <si>
    <t>Fundamental/Base Note</t>
  </si>
  <si>
    <t>B3</t>
  </si>
  <si>
    <t>C 4</t>
  </si>
  <si>
    <t>Db 4</t>
  </si>
  <si>
    <t>D 4</t>
  </si>
  <si>
    <t>Eb 4</t>
  </si>
  <si>
    <t>E 4</t>
  </si>
  <si>
    <t>F4</t>
  </si>
  <si>
    <t>Gb 4</t>
  </si>
  <si>
    <t>G 4</t>
  </si>
  <si>
    <t>Ab 4</t>
  </si>
  <si>
    <t>A 4</t>
  </si>
  <si>
    <t>Bb 4</t>
  </si>
  <si>
    <t>B 4</t>
  </si>
  <si>
    <t>C 5</t>
  </si>
  <si>
    <t>Db 5</t>
  </si>
  <si>
    <t>D 5</t>
  </si>
  <si>
    <t>Pentatonic Minor Scale: 3-2-2-3-2</t>
  </si>
  <si>
    <t>Fundamental Frequency (Hertz)</t>
  </si>
  <si>
    <t>Hole 1 Note</t>
  </si>
  <si>
    <t>D4</t>
  </si>
  <si>
    <t>E4</t>
  </si>
  <si>
    <t>Gb4</t>
  </si>
  <si>
    <t>G4</t>
  </si>
  <si>
    <t>Ab4</t>
  </si>
  <si>
    <t>A4</t>
  </si>
  <si>
    <t>Bb4</t>
  </si>
  <si>
    <t>B4</t>
  </si>
  <si>
    <t>C5</t>
  </si>
  <si>
    <t>Db5</t>
  </si>
  <si>
    <t>D5</t>
  </si>
  <si>
    <t>Eb 5</t>
  </si>
  <si>
    <t>E5</t>
  </si>
  <si>
    <t>F5</t>
  </si>
  <si>
    <t>Hole 1 Frequency</t>
  </si>
  <si>
    <t>Hole 2 Note</t>
  </si>
  <si>
    <t>Eb5</t>
  </si>
  <si>
    <t>Gb5</t>
  </si>
  <si>
    <t>G5</t>
  </si>
  <si>
    <t>Hole 2 Frequency</t>
  </si>
  <si>
    <t>Hole 3 Note</t>
  </si>
  <si>
    <t>Gb 5</t>
  </si>
  <si>
    <t>Ab5</t>
  </si>
  <si>
    <t>A5</t>
  </si>
  <si>
    <t>Hole 3 Frequency</t>
  </si>
  <si>
    <t>Hole 4 Note</t>
  </si>
  <si>
    <t>Bb5</t>
  </si>
  <si>
    <t>Hole 4 Frequency</t>
  </si>
  <si>
    <t>Hole 5 Note</t>
  </si>
  <si>
    <t>Bb 5</t>
  </si>
  <si>
    <t>B5</t>
  </si>
  <si>
    <t>C6</t>
  </si>
  <si>
    <t>Hole 5 Frequency</t>
  </si>
  <si>
    <t>Hole 6 Note</t>
  </si>
  <si>
    <t>D6</t>
  </si>
  <si>
    <t>Hole 6 Frequency</t>
  </si>
  <si>
    <t>User Selected Inputs &amp; Variables</t>
  </si>
  <si>
    <t>A</t>
  </si>
  <si>
    <t>Mouth Piece Length</t>
  </si>
  <si>
    <t>Guide a</t>
  </si>
  <si>
    <t>G</t>
  </si>
  <si>
    <t>Mouth Piece Diameter</t>
  </si>
  <si>
    <t>5/16</t>
  </si>
  <si>
    <t>9/32</t>
  </si>
  <si>
    <t>1/4</t>
  </si>
  <si>
    <t>3/8" is too big and less than 1/4" is too small</t>
  </si>
  <si>
    <t>B</t>
  </si>
  <si>
    <t>Short Chamber Length</t>
  </si>
  <si>
    <t>Smallest is 2.5 inches, it may be nice to increase these lengths</t>
  </si>
  <si>
    <t>C</t>
  </si>
  <si>
    <t>Spacing Length</t>
  </si>
  <si>
    <t>Test with CNC to see if smaller flutes could handle a .625" or .50" spacing</t>
  </si>
  <si>
    <t>E</t>
  </si>
  <si>
    <t>Extra Length (to fit depth of chuck jaws)</t>
  </si>
  <si>
    <t>Double check the depth of jaws required for the coresponding flute diameter</t>
  </si>
  <si>
    <t>F</t>
  </si>
  <si>
    <t>Bore ID</t>
  </si>
  <si>
    <t xml:space="preserve">Smallest flutes may want to increase bore ID. </t>
  </si>
  <si>
    <t>T</t>
  </si>
  <si>
    <t>Wall Thickness ~ Appx 1/3 of Bore ID</t>
  </si>
  <si>
    <t>Test these numbers, see how durable the flutes feel. Change if they need more or less thickness, .30 is probably too thick and probably don't want to go thinner than 0.1875"</t>
  </si>
  <si>
    <t>U</t>
  </si>
  <si>
    <t>Flue Depth</t>
  </si>
  <si>
    <t>Might want to test as low as .020" and as large as .050"</t>
  </si>
  <si>
    <t>V</t>
  </si>
  <si>
    <t>Flue Width ~ Appx 1/2 of Bore ID or less</t>
  </si>
  <si>
    <t xml:space="preserve">Need to do some testing on flue width. 0.5" is probably too big </t>
  </si>
  <si>
    <t>W</t>
  </si>
  <si>
    <t>Sound Hole Length</t>
  </si>
  <si>
    <t>Double check some of these numbers against good sounds flutes from inventory</t>
  </si>
  <si>
    <t>Removed from Diameter by Turning</t>
  </si>
  <si>
    <t>Check these numbers, it may be wasting wood to remove .35" and it may be removing too little to only remove .175"</t>
  </si>
  <si>
    <t>N</t>
  </si>
  <si>
    <t>Hole 1 Diameter</t>
  </si>
  <si>
    <t>Start with every finger hole at 0.25", then make several of one key and tune them with hot iron rods, then take an average for those hole sizes. Try to keep finger hole sizes between .25" and .45"</t>
  </si>
  <si>
    <t>O</t>
  </si>
  <si>
    <t>Hole 2 Diameter</t>
  </si>
  <si>
    <t>P</t>
  </si>
  <si>
    <t>Hole 3 Diameter</t>
  </si>
  <si>
    <t>Q</t>
  </si>
  <si>
    <t>Hole 4 Diameter</t>
  </si>
  <si>
    <t>R</t>
  </si>
  <si>
    <t>Hole 5 Diameter</t>
  </si>
  <si>
    <t>S</t>
  </si>
  <si>
    <t>Hole 6 Diameter</t>
  </si>
  <si>
    <t>Hole 1 Distance from End</t>
  </si>
  <si>
    <t>Starting points given from Flutopedia NAF Calculator. Make Prototypes and Adjust as neccesary. These numbers should actually measure distance from Sound Hole</t>
  </si>
  <si>
    <t>Hole 2 Distance from End</t>
  </si>
  <si>
    <t>Hole 3 Distance from End</t>
  </si>
  <si>
    <t>Hole 4 Distance from End</t>
  </si>
  <si>
    <t>Hole 5 Distance from End</t>
  </si>
  <si>
    <t>Hole 6 Distance from End</t>
  </si>
  <si>
    <t>Calculated/Tabulated</t>
  </si>
  <si>
    <t>Blank Length = A+B+C+D</t>
  </si>
  <si>
    <t>Blank Width = 2(2*K)+.125</t>
  </si>
  <si>
    <t>Blank Thickness =(E/2)+L+(H/2)</t>
  </si>
  <si>
    <t>Turned Diameter = E+2*L</t>
  </si>
  <si>
    <t>Top Surface Area of Wood = I*J</t>
  </si>
  <si>
    <t>Bd Ft of Wood =((I*J*K)/144)*2</t>
  </si>
  <si>
    <t>Nest Distance from Mouthpiece</t>
  </si>
  <si>
    <t>Sunken Nest Depth</t>
  </si>
  <si>
    <t>Sunken Nest Width</t>
  </si>
  <si>
    <t>Sunken Nest Length</t>
  </si>
  <si>
    <t>H</t>
  </si>
  <si>
    <t>Hole 1 Coordinate (y position after mouthpiece, short chamber &amp; spacing)</t>
  </si>
  <si>
    <t>I</t>
  </si>
  <si>
    <t>Hole 2 Coordinate</t>
  </si>
  <si>
    <t>J</t>
  </si>
  <si>
    <t>Hole 3 Coordinate</t>
  </si>
  <si>
    <t>K</t>
  </si>
  <si>
    <t>Hole 4 Coordinate</t>
  </si>
  <si>
    <t>L</t>
  </si>
  <si>
    <t>Hole 5 Coordinate</t>
  </si>
  <si>
    <t>M</t>
  </si>
  <si>
    <t>Hole 6 Coordinate</t>
  </si>
  <si>
    <t>X</t>
  </si>
  <si>
    <t>Distance between Hole 1 &amp; 2</t>
  </si>
  <si>
    <t>These hole patterns are setup such that the distance between holes for the right hand are equal and distance between holes for the left hand are equal.</t>
  </si>
  <si>
    <t>Y</t>
  </si>
  <si>
    <t>Distance between Hole 2 &amp; 3</t>
  </si>
  <si>
    <t>Z</t>
  </si>
  <si>
    <t>Distance between Hole 3 &amp; 4</t>
  </si>
  <si>
    <t>AA</t>
  </si>
  <si>
    <t>Distance between Hole 4 &amp; 5</t>
  </si>
  <si>
    <t>BB</t>
  </si>
  <si>
    <t>Distance between Hole 5 &amp; 6</t>
  </si>
  <si>
    <t>Acoustic Length (speed of sound =13552 inches per second)</t>
  </si>
  <si>
    <t>K1 @ Foot End</t>
  </si>
  <si>
    <t>K2 calculation= (D/E)^2((0.61+0.33)E+T) Not sure what T is supposed to be so I've entered values for T to fit values provided by the NAF CALC K2</t>
  </si>
  <si>
    <t>Might be calculatable from value present in the chart. These have been fudged to make a consistent pattern with the bore volume increases</t>
  </si>
  <si>
    <t>Bore Cross sectional Area: (in^2) = Pi*(r^2)</t>
  </si>
  <si>
    <t>Bore Volume: (in^3) = Pi*(r^2)*h</t>
  </si>
  <si>
    <t>Bore Volume Increase over next higher note</t>
  </si>
  <si>
    <t>?</t>
  </si>
  <si>
    <t>Theoretically? These should show a fairly consistent pattern</t>
  </si>
  <si>
    <t>D</t>
  </si>
  <si>
    <t>Long Chamber</t>
  </si>
  <si>
    <t>Test these lengths, adjust K2 value to compensate for correction</t>
  </si>
  <si>
    <t>Long Chamber Increase over next higher note</t>
  </si>
  <si>
    <t>Lathe Chuck Jaws Set Size/#</t>
  </si>
  <si>
    <t>Chamber to Bore Ratio</t>
  </si>
  <si>
    <t>Recommendations are to start somewhere between 18:1 and 21:1. Bigger flutes need a higher ratio, smaller flutes can tolerate a lower ratio</t>
  </si>
  <si>
    <t>Measured Results from Batch</t>
  </si>
  <si>
    <t xml:space="preserve">Once a batch of flutes has come off the CNC, cut them to length and measure the base note frequency. </t>
  </si>
  <si>
    <t>Test the frequency of each hole before turning, it should be slightly flat or too low. Turning the flute to diameter should raise the pitch of each hole</t>
  </si>
  <si>
    <t>If the note measures too high, the hole can be made smaller or moved down towards the foot of the flute. If the note measures too low, the hole can be made larger or moved towards the sound hole.</t>
  </si>
  <si>
    <t>Difference from perfect</t>
  </si>
  <si>
    <t>If the number is negative, the flute's long chamber needs to be longer. If the number is positive, the long chamber needs to be shorter. Adjust K2 and therefore the long chamber length.</t>
  </si>
  <si>
    <t>Contraction</t>
  </si>
  <si>
    <t>Expansion</t>
  </si>
  <si>
    <t>Price</t>
  </si>
  <si>
    <t>Min</t>
  </si>
  <si>
    <t>Max</t>
  </si>
  <si>
    <t>Spigot Length</t>
  </si>
  <si>
    <t>Own</t>
  </si>
  <si>
    <t>URL</t>
  </si>
  <si>
    <t>NOVA Infinity Bowl Jaw Series #1 - 8301</t>
  </si>
  <si>
    <t>NO</t>
  </si>
  <si>
    <t>https://www.teknatool.com/products/chuck-accessories/nova-jaw-accessories/nova-infinity-accessory-jaw-bowl-jaw-series-1/</t>
  </si>
  <si>
    <t>NOVA Infinity Bowl Jaw Series #2 - 8302</t>
  </si>
  <si>
    <t>https://www.teknatool.com/products/chuck-accessories/nova-jaw-accessories/nova-infinity-accessory-jaw-bowl-jaw-series-2/</t>
  </si>
  <si>
    <t>NOVA Infinity Bowl Jaw Series #3 - 8303</t>
  </si>
  <si>
    <t>YES</t>
  </si>
  <si>
    <t>https://www.teknatool.com/products/chuck-accessories/nova-jaw-accessories/nova-infinity-accessory-jaw-bowl-jaw-series-3/</t>
  </si>
  <si>
    <t>NOVA Infinity Bowl Jaw Series #4 - 8304</t>
  </si>
  <si>
    <t>https://www.teknatool.com/products/chuck-accessories/nova-jaw-accessories/nova-infinity-accessory-jaw-bowl-jaw-series-4/</t>
  </si>
  <si>
    <t>NOVA Infinity Bowl Jaw Series #5 - 8305</t>
  </si>
  <si>
    <t>https://www.teknatool.com/products/chuck-accessories/nova-jaw-accessories/nova-infinity-accessory-jaw-bowl-jaw-series-5/</t>
  </si>
  <si>
    <t>NOVA Infinity Bowl Jaw Series #6 - 8306</t>
  </si>
  <si>
    <t>https://www.teknatool.com/products/chuck-accessories/nova-jaw-accessories/nova-infinity-accessory-jaw-bowl-jaw-series-6/</t>
  </si>
  <si>
    <t>NOVA Infinity Bowl Jaw Series #7 - 8307</t>
  </si>
  <si>
    <t>https://www.teknatool.com/products/chuck-accessories/nova-jaw-accessories/nova-infinity-accessory-jaw-bowl-jaw-series-7/</t>
  </si>
  <si>
    <t>NOVA Infinity Saw Tooth Jaw Series #1 - 8311-R</t>
  </si>
  <si>
    <t>https://www.teknatool.com/products/shopnovapartsdirect/factory-refurbished/nova-infinity-accessory-jaw-saw-tooth-series-1-8311-r/</t>
  </si>
  <si>
    <t>NOVA Infinity Saw Tooth Jaw Series #2 - 8312-R</t>
  </si>
  <si>
    <t>https://www.teknatool.com/products/shopnovapartsdirect/sale/nova-infinity-accessory-jaw-saw-tooth-series-2-8312-r/</t>
  </si>
  <si>
    <t>NOVA Infinity Saw Tooth Jaw Series #3 - 8313</t>
  </si>
  <si>
    <t>https://www.teknatool.com/products/chuck-accessories/nova-jaw-accessories/nova-infinity-accessory-jaw-saw-tooth-series-3/</t>
  </si>
  <si>
    <t>NOVA 8012 Infnity Super Infinity Quick Change Chuck</t>
  </si>
  <si>
    <t>Variable</t>
  </si>
  <si>
    <t>Fund.</t>
  </si>
  <si>
    <t>G 3</t>
  </si>
  <si>
    <t>Ab 3</t>
  </si>
  <si>
    <t>A 3</t>
  </si>
  <si>
    <t>Bb 3</t>
  </si>
  <si>
    <t>B 3</t>
  </si>
  <si>
    <t>E 5</t>
  </si>
  <si>
    <t>F 5</t>
  </si>
  <si>
    <t>G 5</t>
  </si>
  <si>
    <t>Ab 5</t>
  </si>
  <si>
    <t>Db 6</t>
  </si>
  <si>
    <t>Blank Length</t>
  </si>
  <si>
    <t>Blank Width</t>
  </si>
  <si>
    <t>Blank Thickness</t>
  </si>
  <si>
    <t>Top Surface Area of Wood</t>
  </si>
  <si>
    <t>Bd Ft of Wood</t>
  </si>
  <si>
    <t>Mouth Piece</t>
  </si>
  <si>
    <t>Short Chamber</t>
  </si>
  <si>
    <t>Spacing</t>
  </si>
  <si>
    <t>Extra Length</t>
  </si>
  <si>
    <t>Turned Thickness</t>
  </si>
  <si>
    <t>Removed by Turning</t>
  </si>
  <si>
    <t>Wall Thickness</t>
  </si>
  <si>
    <t>Sound Hole &amp; Flue Width</t>
  </si>
  <si>
    <t>Sum of area from D4 to D5</t>
  </si>
  <si>
    <t>bd ft at 7/8" thick</t>
  </si>
  <si>
    <t>Sum of area from E4 to D5</t>
  </si>
  <si>
    <t>bd ft at 3/4" thick</t>
  </si>
  <si>
    <t>Sum of bd ft from D4 to D5</t>
  </si>
  <si>
    <t>Sum of bd ft from E4 to D5</t>
  </si>
  <si>
    <t>Acoustic Length</t>
  </si>
  <si>
    <t>K2 @ Sound Hole</t>
  </si>
  <si>
    <t>NAF CALC K2</t>
  </si>
  <si>
    <t>Chamber to ID Ratio</t>
  </si>
  <si>
    <t>Pentatonic Minor Scale</t>
  </si>
  <si>
    <t>Fundamental Note</t>
  </si>
  <si>
    <t>F 4</t>
  </si>
  <si>
    <t>Fundamental Frequency</t>
  </si>
  <si>
    <t>Hole 1</t>
  </si>
  <si>
    <t>Bb3</t>
  </si>
  <si>
    <t>C4</t>
  </si>
  <si>
    <t>Db4</t>
  </si>
  <si>
    <t>Db6</t>
  </si>
  <si>
    <t>Eb 6</t>
  </si>
  <si>
    <t>E6</t>
  </si>
  <si>
    <t>F6</t>
  </si>
  <si>
    <t>Frequency</t>
  </si>
  <si>
    <t>Diameter</t>
  </si>
  <si>
    <t>Distance from End</t>
  </si>
  <si>
    <t>Hole 2</t>
  </si>
  <si>
    <t>Eb4</t>
  </si>
  <si>
    <t>Eb6</t>
  </si>
  <si>
    <t>Gb6</t>
  </si>
  <si>
    <t>G6</t>
  </si>
  <si>
    <t>Hole 3</t>
  </si>
  <si>
    <t>Gb 6</t>
  </si>
  <si>
    <t>Ab6</t>
  </si>
  <si>
    <t>A6</t>
  </si>
  <si>
    <t>Hole 4</t>
  </si>
  <si>
    <t>Bb6</t>
  </si>
  <si>
    <t>Hole 5</t>
  </si>
  <si>
    <t>Bb 6</t>
  </si>
  <si>
    <t>B6</t>
  </si>
  <si>
    <t>C7</t>
  </si>
  <si>
    <t>CC</t>
  </si>
  <si>
    <t>Hole 6</t>
  </si>
  <si>
    <t>Db7</t>
  </si>
  <si>
    <t>D7</t>
  </si>
  <si>
    <t>DD</t>
  </si>
  <si>
    <t>EE</t>
  </si>
  <si>
    <t>Double Harmonic Scale (Arabic) 1312131</t>
  </si>
  <si>
    <t>F# 4</t>
  </si>
  <si>
    <t>C# 4</t>
  </si>
  <si>
    <t>Thumb Hole 7</t>
  </si>
  <si>
    <t>SUM of 40</t>
  </si>
  <si>
    <t>0.035 Total</t>
  </si>
  <si>
    <t>0.225 Total</t>
  </si>
  <si>
    <t>0.25 Total</t>
  </si>
  <si>
    <t>0.425 Total</t>
  </si>
  <si>
    <t>0.875 Total</t>
  </si>
  <si>
    <t>1.84 Total</t>
  </si>
  <si>
    <t>3.625 Total</t>
  </si>
  <si>
    <t>4.25 Total</t>
  </si>
  <si>
    <t>4.625 Total</t>
  </si>
  <si>
    <t>10.284 Total</t>
  </si>
  <si>
    <t>12.459 Total</t>
  </si>
  <si>
    <t>13.885 Total</t>
  </si>
  <si>
    <t>15.312 Total</t>
  </si>
  <si>
    <t>41.5 Total</t>
  </si>
  <si>
    <t>46 Total</t>
  </si>
  <si>
    <t>51.99 Total</t>
  </si>
  <si>
    <t>57.99 Total</t>
  </si>
  <si>
    <t>22.1:1</t>
  </si>
  <si>
    <t>22.1:1 Total</t>
  </si>
  <si>
    <t>5/16 Total</t>
  </si>
  <si>
    <t>Ab4 Total</t>
  </si>
  <si>
    <t>Bb 4 Total</t>
  </si>
  <si>
    <t>C 4 Total</t>
  </si>
  <si>
    <t>C5 Total</t>
  </si>
  <si>
    <t>Eb 4 Total</t>
  </si>
  <si>
    <t>F4 Total</t>
  </si>
  <si>
    <t>G4 Total</t>
  </si>
  <si>
    <t>Price Total</t>
  </si>
  <si>
    <t>Grand Total</t>
  </si>
  <si>
    <t>4.375 Total</t>
  </si>
  <si>
    <t>5.764 Total</t>
  </si>
  <si>
    <t>7.405 Total</t>
  </si>
  <si>
    <t>9.046 Total</t>
  </si>
  <si>
    <t>11.077 Total</t>
  </si>
  <si>
    <t>12.302 Total</t>
  </si>
  <si>
    <t>13.527 Total</t>
  </si>
  <si>
    <t>1.417 Total</t>
  </si>
  <si>
    <t>2.087 Total</t>
  </si>
  <si>
    <t>4.291 Total</t>
  </si>
  <si>
    <t>4.803 Total</t>
  </si>
  <si>
    <t>0.906 Total</t>
  </si>
  <si>
    <t>1.496 Total</t>
  </si>
  <si>
    <t>3.18 Total</t>
  </si>
  <si>
    <t>3.267 Total</t>
  </si>
  <si>
    <t>3.77 Total</t>
  </si>
  <si>
    <t>21.7:1</t>
  </si>
  <si>
    <t>21.7:1 Total</t>
  </si>
  <si>
    <t>Bb4 Total</t>
  </si>
  <si>
    <t>D 4 Total</t>
  </si>
  <si>
    <t>D5 Total</t>
  </si>
  <si>
    <t>A4 Total</t>
  </si>
  <si>
    <t>Max Total</t>
  </si>
  <si>
    <t>23.5:1</t>
  </si>
  <si>
    <t>Number</t>
  </si>
  <si>
    <t>Owner</t>
  </si>
  <si>
    <t>Wood Species</t>
  </si>
  <si>
    <t>Key</t>
  </si>
  <si>
    <t>TSH Width</t>
  </si>
  <si>
    <t>Track Length</t>
  </si>
  <si>
    <t>Nest Width</t>
  </si>
  <si>
    <t>Needs Fetish?</t>
  </si>
  <si>
    <t>Finished Long Chamber</t>
  </si>
  <si>
    <t>Hole Pattern</t>
  </si>
  <si>
    <t>Date Glued</t>
  </si>
  <si>
    <t>Date Routered</t>
  </si>
  <si>
    <t>Date Lasered</t>
  </si>
  <si>
    <t>Date Turned</t>
  </si>
  <si>
    <t>Date Finished</t>
  </si>
  <si>
    <t>Dated Tuned</t>
  </si>
  <si>
    <t>Blank width</t>
  </si>
  <si>
    <t>Wood Thickness</t>
  </si>
  <si>
    <t>Inner Diameter</t>
  </si>
  <si>
    <t>Slow Air Chamber</t>
  </si>
  <si>
    <t>Long Air Chamber of Blank</t>
  </si>
  <si>
    <t>Flue Entrance</t>
  </si>
  <si>
    <t>Flue Exit</t>
  </si>
  <si>
    <t>Turned?</t>
  </si>
  <si>
    <t>Length Before Tuning</t>
  </si>
  <si>
    <t>001</t>
  </si>
  <si>
    <t>White Oak</t>
  </si>
  <si>
    <t>A4 Flute Holes1.pdf</t>
  </si>
  <si>
    <t>1/4" Mortise @ 30 Degrees</t>
  </si>
  <si>
    <t>1/4" Mortise</t>
  </si>
  <si>
    <t>002</t>
  </si>
  <si>
    <t>Aflat4</t>
  </si>
  <si>
    <t>Laser</t>
  </si>
  <si>
    <t>003</t>
  </si>
  <si>
    <t>In Stock</t>
  </si>
  <si>
    <t>004</t>
  </si>
  <si>
    <t>Pine</t>
  </si>
  <si>
    <t>F4 Flute Holes1.pdf</t>
  </si>
  <si>
    <t>005</t>
  </si>
  <si>
    <t>G4 Flute Holes1.pdf</t>
  </si>
  <si>
    <t>006</t>
  </si>
  <si>
    <t>007</t>
  </si>
  <si>
    <t>Wrong Serial Number</t>
  </si>
  <si>
    <t>Gflat4</t>
  </si>
  <si>
    <t>008</t>
  </si>
  <si>
    <t>009</t>
  </si>
  <si>
    <t>Mahogany</t>
  </si>
  <si>
    <t>010</t>
  </si>
  <si>
    <t>Bflat4</t>
  </si>
  <si>
    <t>011</t>
  </si>
  <si>
    <t>012</t>
  </si>
  <si>
    <t>013</t>
  </si>
  <si>
    <t>014</t>
  </si>
  <si>
    <t>Death on the Router</t>
  </si>
  <si>
    <t>Hard Maple</t>
  </si>
  <si>
    <t>015</t>
  </si>
  <si>
    <t>016</t>
  </si>
  <si>
    <t>017</t>
  </si>
  <si>
    <t>018</t>
  </si>
  <si>
    <t>Die on the Router</t>
  </si>
  <si>
    <t>019</t>
  </si>
  <si>
    <t>Western Red Cedar</t>
  </si>
  <si>
    <t>020</t>
  </si>
  <si>
    <t>Dflat5</t>
  </si>
  <si>
    <t>021</t>
  </si>
  <si>
    <t>022</t>
  </si>
  <si>
    <t>Black Walnut</t>
  </si>
  <si>
    <t>023</t>
  </si>
  <si>
    <t>024</t>
  </si>
  <si>
    <t>1/4" Mortise @ 45 Degrees</t>
  </si>
  <si>
    <t>025</t>
  </si>
  <si>
    <t>Failed Quality Control</t>
  </si>
  <si>
    <t>Poplar</t>
  </si>
  <si>
    <t>Eflat4</t>
  </si>
  <si>
    <t>026</t>
  </si>
  <si>
    <t>Oak</t>
  </si>
  <si>
    <t>027</t>
  </si>
  <si>
    <t>Brazilian Walnut</t>
  </si>
  <si>
    <t>028</t>
  </si>
  <si>
    <t>Killed by trying to use a razor blade as a scraper</t>
  </si>
  <si>
    <t>029</t>
  </si>
  <si>
    <t>lasered - Changed from Db5, Finger holes too large</t>
  </si>
  <si>
    <t>Dflat5 Flute Holes October 8th</t>
  </si>
  <si>
    <t>030</t>
  </si>
  <si>
    <t>Never finished</t>
  </si>
  <si>
    <t>E5 Flute Holes October 8th</t>
  </si>
  <si>
    <t>031</t>
  </si>
  <si>
    <t>Ambrosia Maple</t>
  </si>
  <si>
    <t>032</t>
  </si>
  <si>
    <t>lasered - Changed from E4, Finger holes too large</t>
  </si>
  <si>
    <t>E4 Flute Holes October 8th</t>
  </si>
  <si>
    <t>033</t>
  </si>
  <si>
    <t>F#4</t>
  </si>
  <si>
    <t>F4 Flute Holes October 8th</t>
  </si>
  <si>
    <t>034</t>
  </si>
  <si>
    <t>Exploded on the lathe, bark inclusion</t>
  </si>
  <si>
    <t>Gflat4 Flute Holes October 8th</t>
  </si>
  <si>
    <t>035</t>
  </si>
  <si>
    <t>lasered - Changed from G4, Finger holes too large</t>
  </si>
  <si>
    <t>G4 Flute Holes October 8th</t>
  </si>
  <si>
    <t>036</t>
  </si>
  <si>
    <t xml:space="preserve">TSH too big </t>
  </si>
  <si>
    <t>Aflat4 Flute Holes October 8th</t>
  </si>
  <si>
    <t>037</t>
  </si>
  <si>
    <t>lasered - Changed from A4, Finger holes too large</t>
  </si>
  <si>
    <t>A4 Flute Holes October 8th</t>
  </si>
  <si>
    <t>038</t>
  </si>
  <si>
    <t>Bflat4 Flute Holes October 8th</t>
  </si>
  <si>
    <t>039</t>
  </si>
  <si>
    <t>TSH too big</t>
  </si>
  <si>
    <t>B4 Flute Holes October 8th</t>
  </si>
  <si>
    <t>040</t>
  </si>
  <si>
    <t>lasered - Changed from C5, Finger holes too large</t>
  </si>
  <si>
    <t>C5 Flute Holes October 8th</t>
  </si>
  <si>
    <t>041</t>
  </si>
  <si>
    <t>finger holes too large, cut into signature</t>
  </si>
  <si>
    <t>042</t>
  </si>
  <si>
    <t>lasered - Changed from D5, Finger holes too large</t>
  </si>
  <si>
    <t>D5 Flute Holes October 8th</t>
  </si>
  <si>
    <t>043</t>
  </si>
  <si>
    <t>044</t>
  </si>
  <si>
    <t>045</t>
  </si>
  <si>
    <t>cut into signature</t>
  </si>
  <si>
    <t>046</t>
  </si>
  <si>
    <t>047</t>
  </si>
  <si>
    <t xml:space="preserve">Exploded on lathe </t>
  </si>
  <si>
    <t>048</t>
  </si>
  <si>
    <t>Birch &amp; White Oak</t>
  </si>
  <si>
    <t>lasered - Changed from F4, Finger holes too large</t>
  </si>
  <si>
    <t>049</t>
  </si>
  <si>
    <t>050</t>
  </si>
  <si>
    <t>051</t>
  </si>
  <si>
    <t>Cherry</t>
  </si>
  <si>
    <t>052</t>
  </si>
  <si>
    <t>053</t>
  </si>
  <si>
    <t>054</t>
  </si>
  <si>
    <t>055</t>
  </si>
  <si>
    <t>056</t>
  </si>
  <si>
    <t>lasered - Changed from Ab4, Finger holes too large</t>
  </si>
  <si>
    <t>057</t>
  </si>
  <si>
    <t>058</t>
  </si>
  <si>
    <t>lasered - Changed from Bb4, Finger holes too large</t>
  </si>
  <si>
    <t>059</t>
  </si>
  <si>
    <t>lasered - Changed from B4, Finger holes too large</t>
  </si>
  <si>
    <t>060</t>
  </si>
  <si>
    <t>061</t>
  </si>
  <si>
    <t>062</t>
  </si>
  <si>
    <t>lasered - Changed from Eb5, Finger holes too large</t>
  </si>
  <si>
    <t>Eflat5 Flute Holes October 8th</t>
  </si>
  <si>
    <t>063</t>
  </si>
  <si>
    <t>approx 15</t>
  </si>
  <si>
    <t>064</t>
  </si>
  <si>
    <t>Too small, not worth finishing</t>
  </si>
  <si>
    <t>065</t>
  </si>
  <si>
    <t>066</t>
  </si>
  <si>
    <t>067</t>
  </si>
  <si>
    <t xml:space="preserve">Cherry </t>
  </si>
  <si>
    <t>068</t>
  </si>
  <si>
    <t>Aromatic Cedar</t>
  </si>
  <si>
    <t>069</t>
  </si>
  <si>
    <t>lasered - Changed from Gb4, Finger holes too large</t>
  </si>
  <si>
    <t>070</t>
  </si>
  <si>
    <t>071</t>
  </si>
  <si>
    <t>exploded on the lathe</t>
  </si>
  <si>
    <t>072</t>
  </si>
  <si>
    <t>073</t>
  </si>
  <si>
    <t>074</t>
  </si>
  <si>
    <t xml:space="preserve">Hard Maple </t>
  </si>
  <si>
    <t>A3</t>
  </si>
  <si>
    <t>075</t>
  </si>
  <si>
    <t>076</t>
  </si>
  <si>
    <t>077</t>
  </si>
  <si>
    <t>078</t>
  </si>
  <si>
    <t>079</t>
  </si>
  <si>
    <t>Ipe</t>
  </si>
  <si>
    <t>080</t>
  </si>
  <si>
    <t>081</t>
  </si>
  <si>
    <t>082</t>
  </si>
  <si>
    <t>083</t>
  </si>
  <si>
    <t>084</t>
  </si>
  <si>
    <t>085</t>
  </si>
  <si>
    <t>086</t>
  </si>
  <si>
    <t>087</t>
  </si>
  <si>
    <t>088</t>
  </si>
  <si>
    <t>089</t>
  </si>
  <si>
    <t>090</t>
  </si>
  <si>
    <t>091</t>
  </si>
  <si>
    <t>African Sapele</t>
  </si>
  <si>
    <t>092</t>
  </si>
  <si>
    <t>093</t>
  </si>
  <si>
    <t>chiseled edge of sound hole broke</t>
  </si>
  <si>
    <t>094</t>
  </si>
  <si>
    <t>095</t>
  </si>
  <si>
    <t>096</t>
  </si>
  <si>
    <t>097</t>
  </si>
  <si>
    <t>098</t>
  </si>
  <si>
    <t>099</t>
  </si>
  <si>
    <t>100</t>
  </si>
  <si>
    <t>101</t>
  </si>
  <si>
    <t>102</t>
  </si>
  <si>
    <t>Red Gum</t>
  </si>
  <si>
    <t>103</t>
  </si>
  <si>
    <t>104</t>
  </si>
  <si>
    <t>105</t>
  </si>
  <si>
    <t>106</t>
  </si>
  <si>
    <t>107</t>
  </si>
  <si>
    <t>108</t>
  </si>
  <si>
    <t>109</t>
  </si>
  <si>
    <t>110</t>
  </si>
  <si>
    <t>111</t>
  </si>
  <si>
    <t>112</t>
  </si>
  <si>
    <t>Andy Hanson's Birthday - 6/27/2020</t>
  </si>
  <si>
    <t>113</t>
  </si>
  <si>
    <t xml:space="preserve">Oak </t>
  </si>
  <si>
    <t>114</t>
  </si>
  <si>
    <t>115</t>
  </si>
  <si>
    <t>116</t>
  </si>
  <si>
    <t>117</t>
  </si>
  <si>
    <t>118</t>
  </si>
  <si>
    <t>119</t>
  </si>
  <si>
    <t>lasered</t>
  </si>
  <si>
    <t>120</t>
  </si>
  <si>
    <t>121</t>
  </si>
  <si>
    <t>122</t>
  </si>
  <si>
    <t>123</t>
  </si>
  <si>
    <t>124</t>
  </si>
  <si>
    <t>Segmented</t>
  </si>
  <si>
    <t>125</t>
  </si>
  <si>
    <t>126</t>
  </si>
  <si>
    <t>127</t>
  </si>
  <si>
    <t>128</t>
  </si>
  <si>
    <t>129</t>
  </si>
  <si>
    <t>130</t>
  </si>
  <si>
    <t>131</t>
  </si>
  <si>
    <t>Half Cherry Half Cedar</t>
  </si>
  <si>
    <t>132</t>
  </si>
  <si>
    <t>Assembled with Joe on 12/15/19</t>
  </si>
  <si>
    <t>G4 121519</t>
  </si>
  <si>
    <t>133</t>
  </si>
  <si>
    <t>134</t>
  </si>
  <si>
    <t>135</t>
  </si>
  <si>
    <t>Redwood</t>
  </si>
  <si>
    <t>Assembled with Max 1/22/19 - Too Much Tailstock Pressure on the Blank</t>
  </si>
  <si>
    <t>136</t>
  </si>
  <si>
    <t>Killed in Bike Accident on 6/21/2020</t>
  </si>
  <si>
    <t>Assembled with Max 1/22/19</t>
  </si>
  <si>
    <t>137</t>
  </si>
  <si>
    <t>Ash</t>
  </si>
  <si>
    <t>138</t>
  </si>
  <si>
    <t>139</t>
  </si>
  <si>
    <t>140</t>
  </si>
  <si>
    <t>141</t>
  </si>
  <si>
    <t>142</t>
  </si>
  <si>
    <t>143</t>
  </si>
  <si>
    <t>Aromatic Cedar &amp; Redwood</t>
  </si>
  <si>
    <t>144</t>
  </si>
  <si>
    <t xml:space="preserve">Gingko </t>
  </si>
  <si>
    <t>145</t>
  </si>
  <si>
    <t>146</t>
  </si>
  <si>
    <t xml:space="preserve">exploded on lathe </t>
  </si>
  <si>
    <t>147</t>
  </si>
  <si>
    <t>148</t>
  </si>
  <si>
    <t>Gingko</t>
  </si>
  <si>
    <t>149</t>
  </si>
  <si>
    <t>150</t>
  </si>
  <si>
    <t>151</t>
  </si>
  <si>
    <t>152</t>
  </si>
  <si>
    <t>153</t>
  </si>
  <si>
    <t>Fetishes Needed</t>
  </si>
  <si>
    <t>53, 114, 119</t>
  </si>
  <si>
    <t>Base Price</t>
  </si>
  <si>
    <t>Sound Quality</t>
  </si>
  <si>
    <t>Exotic Wood</t>
  </si>
  <si>
    <t>Domestic Hardwood</t>
  </si>
  <si>
    <t>Domestic Softwood</t>
  </si>
  <si>
    <t>Double Domestic</t>
  </si>
  <si>
    <t>Domestic and Exotic</t>
  </si>
  <si>
    <t>-5, 0, +5</t>
  </si>
  <si>
    <t>#</t>
  </si>
  <si>
    <t>First</t>
  </si>
  <si>
    <t>Last</t>
  </si>
  <si>
    <t>Wood</t>
  </si>
  <si>
    <t>Date</t>
  </si>
  <si>
    <t>Danny</t>
  </si>
  <si>
    <t>Gleason</t>
  </si>
  <si>
    <t>G#</t>
  </si>
  <si>
    <t>Maple</t>
  </si>
  <si>
    <t>Discussed at Bonfire at Danny's</t>
  </si>
  <si>
    <t>Rachel</t>
  </si>
  <si>
    <t>Bernier</t>
  </si>
  <si>
    <t>Josh</t>
  </si>
  <si>
    <t>Grove</t>
  </si>
  <si>
    <t>C5 or similar</t>
  </si>
  <si>
    <t>Cedar</t>
  </si>
  <si>
    <t>Discussed at Shangri-La</t>
  </si>
  <si>
    <t>Philip</t>
  </si>
  <si>
    <t>Krynicki</t>
  </si>
  <si>
    <t>Discussed at Madeline and Chris's Housewarming Party</t>
  </si>
  <si>
    <t>Ben</t>
  </si>
  <si>
    <t>Linzmeier</t>
  </si>
  <si>
    <t>Discussed at Amber's Potluck</t>
  </si>
  <si>
    <t>Mike</t>
  </si>
  <si>
    <t>Discussed at Hack Factory</t>
  </si>
  <si>
    <t>Steve</t>
  </si>
  <si>
    <t>Marcy</t>
  </si>
  <si>
    <t>discussed at LHL #277 9524127958</t>
  </si>
  <si>
    <t>workshop interest</t>
  </si>
  <si>
    <t xml:space="preserve">Max </t>
  </si>
  <si>
    <t>Okray</t>
  </si>
  <si>
    <t>Dan</t>
  </si>
  <si>
    <t>Estenson</t>
  </si>
  <si>
    <t>Peter</t>
  </si>
  <si>
    <t>Clausen</t>
  </si>
  <si>
    <t>couple from Sarah and Erik house warming party</t>
  </si>
  <si>
    <t xml:space="preserve">Jourdan </t>
  </si>
  <si>
    <t xml:space="preserve">Gailey </t>
  </si>
  <si>
    <t xml:space="preserve">Atma </t>
  </si>
  <si>
    <t>Aaron Brookes</t>
  </si>
  <si>
    <t>Lynn</t>
  </si>
  <si>
    <t>Keys</t>
  </si>
  <si>
    <t>1/2 WL</t>
  </si>
  <si>
    <t>WallT</t>
  </si>
  <si>
    <t>SAC Length</t>
  </si>
  <si>
    <t>Len</t>
  </si>
  <si>
    <t>bitD</t>
  </si>
  <si>
    <t>aDist</t>
  </si>
  <si>
    <t>aDiam</t>
  </si>
  <si>
    <t>aT</t>
  </si>
  <si>
    <t>bDist</t>
  </si>
  <si>
    <t>bDiam</t>
  </si>
  <si>
    <t>bT</t>
  </si>
  <si>
    <t>cDist</t>
  </si>
  <si>
    <t>cDiam</t>
  </si>
  <si>
    <t>cT</t>
  </si>
  <si>
    <t>dDist</t>
  </si>
  <si>
    <t>dDiam</t>
  </si>
  <si>
    <t>dT</t>
  </si>
  <si>
    <t>eDist</t>
  </si>
  <si>
    <t>eDiam</t>
  </si>
  <si>
    <t>eT</t>
  </si>
  <si>
    <t>fDist</t>
  </si>
  <si>
    <t>fDiam</t>
  </si>
  <si>
    <t>fT</t>
  </si>
  <si>
    <t>K2est</t>
  </si>
  <si>
    <t>K2Max</t>
  </si>
  <si>
    <t>H-1</t>
  </si>
  <si>
    <t>H-2</t>
  </si>
  <si>
    <t>H-3</t>
  </si>
  <si>
    <t>H-4</t>
  </si>
  <si>
    <t>H-5</t>
  </si>
  <si>
    <t>H-6</t>
  </si>
  <si>
    <t>Flute Calculator - Calculations for initial construction of the flute blank</t>
  </si>
  <si>
    <t>01. G  below middle C</t>
  </si>
  <si>
    <t>Fundamental</t>
  </si>
  <si>
    <t>02. Ab below middle C</t>
  </si>
  <si>
    <t>11  1/16</t>
  </si>
  <si>
    <t>08. D  above middle C</t>
  </si>
  <si>
    <t>L/B</t>
  </si>
  <si>
    <t>L/B sq</t>
  </si>
  <si>
    <t>03. A  below middle C</t>
  </si>
  <si>
    <t>Initial Conditions</t>
  </si>
  <si>
    <t>1/2 Wavelength</t>
  </si>
  <si>
    <t>Router bit diam.</t>
  </si>
  <si>
    <t>K2 Iterations</t>
  </si>
  <si>
    <t>04. Bb below middle C</t>
  </si>
  <si>
    <t>05. B  below middle C</t>
  </si>
  <si>
    <t>Flue depth</t>
  </si>
  <si>
    <t>Flue width</t>
  </si>
  <si>
    <t>Sound hole L</t>
  </si>
  <si>
    <t>Sound hole W</t>
  </si>
  <si>
    <t xml:space="preserve">06. Middle C (C4) </t>
  </si>
  <si>
    <t>07. Db above middle C</t>
  </si>
  <si>
    <t>Desired lengths</t>
  </si>
  <si>
    <t>Plug</t>
  </si>
  <si>
    <t>Air chamber</t>
  </si>
  <si>
    <t>Mouth+Extra</t>
  </si>
  <si>
    <t>09. Eb above middle C</t>
  </si>
  <si>
    <t>10. E  above middle C</t>
  </si>
  <si>
    <t>TSH equiv diam</t>
  </si>
  <si>
    <t>TSH avg T</t>
  </si>
  <si>
    <t>K2 Max</t>
  </si>
  <si>
    <t>Fetish effect F</t>
  </si>
  <si>
    <t>Spl edge ratio</t>
  </si>
  <si>
    <t>T factor</t>
  </si>
  <si>
    <t>11. F  above middle C</t>
  </si>
  <si>
    <t>12. Gb above middle C</t>
  </si>
  <si>
    <t>13. G  above middle C</t>
  </si>
  <si>
    <t>Oval bore with</t>
  </si>
  <si>
    <t>Bit Area</t>
  </si>
  <si>
    <t>14. Ab above middle C</t>
  </si>
  <si>
    <t>Desired L/B ratio =</t>
  </si>
  <si>
    <t>Bore area</t>
  </si>
  <si>
    <t>15. A  above middle C</t>
  </si>
  <si>
    <t>A 5</t>
  </si>
  <si>
    <t>Bore</t>
  </si>
  <si>
    <t>Bore Length</t>
  </si>
  <si>
    <t>Rounded Length</t>
  </si>
  <si>
    <t>K1</t>
  </si>
  <si>
    <t>K2 est</t>
  </si>
  <si>
    <t>bore H/W ratio</t>
  </si>
  <si>
    <t>16. Bb above middle C</t>
  </si>
  <si>
    <t>17. B  above middle C</t>
  </si>
  <si>
    <t>B 5</t>
  </si>
  <si>
    <t>bit Depth set</t>
  </si>
  <si>
    <t>18. C  above middle C</t>
  </si>
  <si>
    <t>C 6</t>
  </si>
  <si>
    <t>19. Db two above middle C</t>
  </si>
  <si>
    <t>20. D  two above middle C</t>
  </si>
  <si>
    <t>D 6</t>
  </si>
  <si>
    <t>21. Eb two above middle C</t>
  </si>
  <si>
    <t>Desired L/B sq ratio=</t>
  </si>
  <si>
    <t>22. E  two above middle C</t>
  </si>
  <si>
    <t>E 6</t>
  </si>
  <si>
    <t>23. F  two above middle C</t>
  </si>
  <si>
    <t>F 6</t>
  </si>
  <si>
    <t>24. Gb two above middle C</t>
  </si>
  <si>
    <t>25. G  two above middle C</t>
  </si>
  <si>
    <t>G 6</t>
  </si>
  <si>
    <t>26. Ab two above middle C</t>
  </si>
  <si>
    <t>Ab 6</t>
  </si>
  <si>
    <t>Frequencies</t>
  </si>
  <si>
    <t>A 2</t>
  </si>
  <si>
    <t>Round Bore</t>
  </si>
  <si>
    <t>L/B ratio</t>
  </si>
  <si>
    <t>L/B squared ratio</t>
  </si>
  <si>
    <t>Bore length</t>
  </si>
  <si>
    <t>Rounded len</t>
  </si>
  <si>
    <t>B 2</t>
  </si>
  <si>
    <t>Bb 2</t>
  </si>
  <si>
    <t>Flute Calculator - Calculations after bore is constructed and measured</t>
  </si>
  <si>
    <t>Assumes routed bore with rounded end.  Measurements in inches.  Speed of Sound in inches/sec   Temp. in degrees Fahrenheit</t>
  </si>
  <si>
    <t>C 3</t>
  </si>
  <si>
    <t>Mode 1 &amp; 4 Pentatonic</t>
  </si>
  <si>
    <t>Playing hole</t>
  </si>
  <si>
    <t>Measured/known</t>
  </si>
  <si>
    <t>Measured length</t>
  </si>
  <si>
    <t>Bore width</t>
  </si>
  <si>
    <t>Fundamental freq</t>
  </si>
  <si>
    <t>Playing Temp.</t>
  </si>
  <si>
    <t>Bore height</t>
  </si>
  <si>
    <t>Thickness</t>
  </si>
  <si>
    <t>D 3</t>
  </si>
  <si>
    <t>Calculated</t>
  </si>
  <si>
    <t>Foot wall thickness</t>
  </si>
  <si>
    <t>K2</t>
  </si>
  <si>
    <t>Bit depth calc</t>
  </si>
  <si>
    <t>Speed of sound</t>
  </si>
  <si>
    <t>Actual Length</t>
  </si>
  <si>
    <t>Length/bore ratio</t>
  </si>
  <si>
    <t>Length/Bore sq.</t>
  </si>
  <si>
    <t>Db 3</t>
  </si>
  <si>
    <t>Hole# (from foot)</t>
  </si>
  <si>
    <t>E 3</t>
  </si>
  <si>
    <t>Note</t>
  </si>
  <si>
    <t>1/2 wavelength</t>
  </si>
  <si>
    <t>Eb 3</t>
  </si>
  <si>
    <t>Hole diameter</t>
  </si>
  <si>
    <t>Dist between Holes</t>
  </si>
  <si>
    <t>Dist from foot in</t>
  </si>
  <si>
    <t xml:space="preserve">   fractions of an inch</t>
  </si>
  <si>
    <t>F 3</t>
  </si>
  <si>
    <t>Temperature Adjustment (set tuner to tuning freq for A)</t>
  </si>
  <si>
    <t>speed sound</t>
  </si>
  <si>
    <t>wavelength</t>
  </si>
  <si>
    <t>Ideal Temperature</t>
  </si>
  <si>
    <t>Ideal Freq A</t>
  </si>
  <si>
    <t>Tuning Temperature</t>
  </si>
  <si>
    <t>Tuning Freq A</t>
  </si>
  <si>
    <t>Gb 3</t>
  </si>
  <si>
    <t>Impedence calculations</t>
  </si>
  <si>
    <t>Ei</t>
  </si>
  <si>
    <t>Eo</t>
  </si>
  <si>
    <t>Thole</t>
  </si>
  <si>
    <t>"Thickness" decimal</t>
  </si>
  <si>
    <t>Lh</t>
  </si>
  <si>
    <t>k</t>
  </si>
  <si>
    <t>cot(kLR)</t>
  </si>
  <si>
    <t>LR</t>
  </si>
  <si>
    <t xml:space="preserve">d </t>
  </si>
  <si>
    <t>Dis from Foot</t>
  </si>
  <si>
    <t>LL</t>
  </si>
  <si>
    <t>Flute Construction Spreadsheet by Bob Grealish, March, 2006</t>
  </si>
  <si>
    <t>40</t>
  </si>
  <si>
    <t>42</t>
  </si>
  <si>
    <t>43</t>
  </si>
  <si>
    <t>-0.567199943829195 Total</t>
  </si>
  <si>
    <t>0.2625 Total</t>
  </si>
  <si>
    <t>0.3 Total</t>
  </si>
  <si>
    <t>0.333333333333333 Total</t>
  </si>
  <si>
    <t>0.5 Total</t>
  </si>
  <si>
    <t>0.75 Total</t>
  </si>
  <si>
    <t>0.785375 Total</t>
  </si>
  <si>
    <t>1 Total</t>
  </si>
  <si>
    <t>1.38510830730592 Total</t>
  </si>
  <si>
    <t>1.426 Total</t>
  </si>
  <si>
    <t>1.427 Total</t>
  </si>
  <si>
    <t>1.45 Total</t>
  </si>
  <si>
    <t>1.5 Total</t>
  </si>
  <si>
    <t>1.70706955308147 Total</t>
  </si>
  <si>
    <t>1.844 Total</t>
  </si>
  <si>
    <t>2.175 Total</t>
  </si>
  <si>
    <t>2.625 Total</t>
  </si>
  <si>
    <t>3.5 Total</t>
  </si>
  <si>
    <t>6.6 Total</t>
  </si>
  <si>
    <t>8.44 Total</t>
  </si>
  <si>
    <t>14.6292762564811 Total</t>
  </si>
  <si>
    <t>16.0562762564811 Total</t>
  </si>
  <si>
    <t>17.3303017149338 Total</t>
  </si>
  <si>
    <t>17.4822762564811 Total</t>
  </si>
  <si>
    <t>19.6572762564811 Total</t>
  </si>
  <si>
    <t>21.5012762564811 Total</t>
  </si>
  <si>
    <t>22.0662762564811 Total</t>
  </si>
  <si>
    <t>23.3412762564811 Total</t>
  </si>
  <si>
    <t>25.8996095898144 Total</t>
  </si>
  <si>
    <t>31.4412762564811 Total</t>
  </si>
  <si>
    <t>113.974626429744 Total</t>
  </si>
  <si>
    <t>261.625565300599 Total</t>
  </si>
  <si>
    <t>311.126983722081 Total</t>
  </si>
  <si>
    <t>349.228231433004 Total</t>
  </si>
  <si>
    <t>391.995435981749 Total</t>
  </si>
  <si>
    <t>415.304697579945 Total</t>
  </si>
  <si>
    <t>466.16376151809 Total</t>
  </si>
  <si>
    <t>523.251130601197 Total</t>
  </si>
  <si>
    <t>(blank)</t>
  </si>
  <si>
    <t>(blank) Total</t>
  </si>
  <si>
    <t>-0.2257932099781 Total</t>
  </si>
  <si>
    <t>0.29375 Total</t>
  </si>
  <si>
    <t>0.3625 Total</t>
  </si>
  <si>
    <t>0.3125 Total</t>
  </si>
  <si>
    <t>0.4 Total</t>
  </si>
  <si>
    <t>0.46875 Total</t>
  </si>
  <si>
    <t>0.69027099609375 Total</t>
  </si>
  <si>
    <t>0.9375 Total</t>
  </si>
  <si>
    <t>1.28357098171265 Total</t>
  </si>
  <si>
    <t>1.225 Total</t>
  </si>
  <si>
    <t>1.3875 Total</t>
  </si>
  <si>
    <t>1.66685404207242 Total</t>
  </si>
  <si>
    <t>1.641 Total</t>
  </si>
  <si>
    <t>2.031 Total</t>
  </si>
  <si>
    <t>2.5 Total</t>
  </si>
  <si>
    <t>4 Total</t>
  </si>
  <si>
    <t>14.1094289839009 Total</t>
  </si>
  <si>
    <t>15.3344289839009 Total</t>
  </si>
  <si>
    <t>13.9858767670001 Total</t>
  </si>
  <si>
    <t>16.5594289839009 Total</t>
  </si>
  <si>
    <t>18.5904289839009 Total</t>
  </si>
  <si>
    <t>20.2314289839009 Total</t>
  </si>
  <si>
    <t>20.2614289839009 Total</t>
  </si>
  <si>
    <t>21.8724289839009 Total</t>
  </si>
  <si>
    <t>23.0739289839009 Total</t>
  </si>
  <si>
    <t>29.1364289839009 Total</t>
  </si>
  <si>
    <t>105.619555066641 Total</t>
  </si>
  <si>
    <t>293.664767917408 Total</t>
  </si>
  <si>
    <t>440 Total</t>
  </si>
  <si>
    <t>587.329535834815 Total</t>
  </si>
  <si>
    <t>A 6</t>
  </si>
  <si>
    <t>B 6</t>
  </si>
  <si>
    <t>C 7</t>
  </si>
  <si>
    <t>Db 7</t>
  </si>
  <si>
    <t>D 7</t>
  </si>
  <si>
    <t>Eb 7</t>
  </si>
  <si>
    <t>buildID</t>
  </si>
  <si>
    <t>key</t>
  </si>
  <si>
    <t>boreLength_m</t>
  </si>
  <si>
    <t>boreDiameter_m</t>
  </si>
  <si>
    <t>wallThickness_m</t>
  </si>
  <si>
    <t>targetFundamental_Hz</t>
  </si>
  <si>
    <t>woodSpecies</t>
  </si>
  <si>
    <t>notes</t>
  </si>
  <si>
    <t>Irish Wooden Flute</t>
  </si>
  <si>
    <t>Unit</t>
  </si>
  <si>
    <t>Key →</t>
  </si>
  <si>
    <t>Key Name</t>
  </si>
  <si>
    <t>PHYSICAL DIMENSIONS</t>
  </si>
  <si>
    <t>in</t>
  </si>
  <si>
    <t>Turned Diameter</t>
  </si>
  <si>
    <t>Embouchure Hole Dia</t>
  </si>
  <si>
    <t>Embouchure Position</t>
  </si>
  <si>
    <t>ACOUSTIC CALCULATIONS</t>
  </si>
  <si>
    <t>End Correction (×2)</t>
  </si>
  <si>
    <t>Effective Length</t>
  </si>
  <si>
    <t>Speed of Sound (68°F)</t>
  </si>
  <si>
    <t>in/s</t>
  </si>
  <si>
    <t>DIATONIC MAJOR SCALE</t>
  </si>
  <si>
    <t>Fundamental Freq</t>
  </si>
  <si>
    <t>Hz</t>
  </si>
  <si>
    <t>Hole 1 Note (+2)</t>
  </si>
  <si>
    <t>Hole 1 Freq</t>
  </si>
  <si>
    <t>Hole 1 Dist from End</t>
  </si>
  <si>
    <t>Hole 2 Note (+4)</t>
  </si>
  <si>
    <t>Hole 2 Freq</t>
  </si>
  <si>
    <t>Hole 2 Dist from End</t>
  </si>
  <si>
    <t>Hole 3 Note (+5)</t>
  </si>
  <si>
    <t>Hole 3 Freq</t>
  </si>
  <si>
    <t>Hole 3 Dist from End</t>
  </si>
  <si>
    <t>Hole 4 Note (+7)</t>
  </si>
  <si>
    <t>Hole 4 Freq</t>
  </si>
  <si>
    <t>Hole 4 Dist from End</t>
  </si>
  <si>
    <t>Hole 5 Note (+9)</t>
  </si>
  <si>
    <t>Hole 5 Freq</t>
  </si>
  <si>
    <t>Hole 5 Dist from End</t>
  </si>
  <si>
    <t>Hole 6 Note (+11)</t>
  </si>
  <si>
    <t>Hole 6 Freq</t>
  </si>
  <si>
    <t>Hole 6 Dist from End</t>
  </si>
  <si>
    <t>C# 5</t>
  </si>
  <si>
    <t>D# 4</t>
  </si>
  <si>
    <t>G# 4</t>
  </si>
  <si>
    <t>A# 4</t>
  </si>
  <si>
    <t>D# 5</t>
  </si>
  <si>
    <t>F# 5</t>
  </si>
  <si>
    <t>G# 5</t>
  </si>
  <si>
    <t>A# 5</t>
  </si>
  <si>
    <t>C# 6</t>
  </si>
  <si>
    <t>D# 6</t>
  </si>
  <si>
    <t>F# 6</t>
  </si>
  <si>
    <t>G# 6</t>
  </si>
  <si>
    <t>A# 6</t>
  </si>
  <si>
    <t>C# 7</t>
  </si>
  <si>
    <t>Shakuhachi (End-Blown)</t>
  </si>
  <si>
    <t>Utaguchi Width</t>
  </si>
  <si>
    <t>Utaguchi Depth</t>
  </si>
  <si>
    <t>Utaguchi Angle</t>
  </si>
  <si>
    <t>deg</t>
  </si>
  <si>
    <t>Shaku Length</t>
  </si>
  <si>
    <t>shaku</t>
  </si>
  <si>
    <t>MINOR PENTATONIC (Kinko-ryū)</t>
  </si>
  <si>
    <t>Fundamental Note (Ro)</t>
  </si>
  <si>
    <t>Hole 1 Note (Tsu, +3)</t>
  </si>
  <si>
    <t>Hole 2 Note (Re, +5)</t>
  </si>
  <si>
    <t>Hole 3 Note (Chi, +7)</t>
  </si>
  <si>
    <t>Hole 4 Note (Ri, +10)</t>
  </si>
  <si>
    <t>Thumb Hole Note (Ro oct, +12)</t>
  </si>
  <si>
    <t>Thumb Hole Freq</t>
  </si>
  <si>
    <t>Thumb Hole Diameter</t>
  </si>
  <si>
    <t>Thumb Hole Dist from End</t>
  </si>
  <si>
    <t>Tin Whistle / Low Whistle</t>
  </si>
  <si>
    <t>Fipple Width</t>
  </si>
  <si>
    <t>Fipple Depth (Windway)</t>
  </si>
  <si>
    <t>Sound Hole Width</t>
  </si>
  <si>
    <t>NOTES</t>
  </si>
  <si>
    <t>Similar to NAF but no slow air chamber.</t>
  </si>
  <si>
    <t>Fipple windway replaces TSH + bird.</t>
  </si>
  <si>
    <t>Diatonic major = same intervals as Irish Flute.</t>
  </si>
  <si>
    <t>D 2</t>
  </si>
  <si>
    <t>Eb 2</t>
  </si>
  <si>
    <t>E 2</t>
  </si>
  <si>
    <t>F 2</t>
  </si>
  <si>
    <t>F# 2</t>
  </si>
  <si>
    <t>G 2</t>
  </si>
  <si>
    <t>Ab 2</t>
  </si>
  <si>
    <t>F# 3</t>
  </si>
  <si>
    <t>Long Chamber (inch)</t>
  </si>
  <si>
    <t>Hole 3: 68% Distance from Fipple</t>
  </si>
  <si>
    <t>Hole 3: Diameter</t>
  </si>
  <si>
    <t>Hole 2: 73% Distance from Fipple</t>
  </si>
  <si>
    <t>Hole 2: Diameter</t>
  </si>
  <si>
    <t>Hole 1: 83% Distance from Fipple</t>
  </si>
  <si>
    <t>Hole 1: Diameter</t>
  </si>
  <si>
    <t>Inner Diameter 45:1 Ratio</t>
  </si>
  <si>
    <t>Inner Diameter 50:1 Ratio</t>
  </si>
  <si>
    <t>Inner Diameter 55:1 Ratio</t>
  </si>
  <si>
    <t>Inner Diameter 60:1 Ratio</t>
  </si>
  <si>
    <t>Scale</t>
  </si>
  <si>
    <t>Pentatonic</t>
  </si>
  <si>
    <t>F2</t>
  </si>
  <si>
    <t>G2</t>
  </si>
  <si>
    <t>A2</t>
  </si>
  <si>
    <t>Gb2</t>
  </si>
  <si>
    <t>Ab2</t>
  </si>
  <si>
    <t>Bb2</t>
  </si>
  <si>
    <t>B2</t>
  </si>
  <si>
    <t>C3</t>
  </si>
  <si>
    <t>Db3</t>
  </si>
  <si>
    <t>Gb3</t>
  </si>
  <si>
    <t>Ab3</t>
  </si>
  <si>
    <t>G3</t>
  </si>
  <si>
    <t>TUNING REFERENCE &amp; CORRECTION FACTORS</t>
  </si>
  <si>
    <t>Equal temperament frequencies, empirical corrections from 153 NAF builds, cent deviation calculator</t>
  </si>
  <si>
    <t>SECTION 1: EQUAL TEMPERAMENT REFERENCE</t>
  </si>
  <si>
    <t>Octave</t>
  </si>
  <si>
    <t>MIDI #</t>
  </si>
  <si>
    <t>Piano Key</t>
  </si>
  <si>
    <t>Frequency (Hz)</t>
  </si>
  <si>
    <t>Cents from A4</t>
  </si>
  <si>
    <t>Bb</t>
  </si>
  <si>
    <t>Db</t>
  </si>
  <si>
    <t>Eb</t>
  </si>
  <si>
    <t>Gb</t>
  </si>
  <si>
    <t>Ab</t>
  </si>
  <si>
    <t>SECTION 2: EMPIRICAL CORRECTION FACTORS (153 NAF Builds)</t>
  </si>
  <si>
    <t>K2 Sound Hole Correction by Bore Diameter</t>
  </si>
  <si>
    <t>K2 = Acoustic Length − (Long Chamber + K1). Tony's NAF CALC K2 differs from the formula-derived value.</t>
  </si>
  <si>
    <t>Bore ID (in)</t>
  </si>
  <si>
    <t>Key Range</t>
  </si>
  <si>
    <t>K2 Formula</t>
  </si>
  <si>
    <t>K2 NAF (Tony)</t>
  </si>
  <si>
    <t>Correction</t>
  </si>
  <si>
    <t>Correction %</t>
  </si>
  <si>
    <t>Chamber Ratio</t>
  </si>
  <si>
    <t>Direction</t>
  </si>
  <si>
    <t>G3–Ab3</t>
  </si>
  <si>
    <t>20–22:1</t>
  </si>
  <si>
    <t>Model underestimates ↑</t>
  </si>
  <si>
    <t>A3–Bb3</t>
  </si>
  <si>
    <t>19–21:1</t>
  </si>
  <si>
    <t>B3–C4</t>
  </si>
  <si>
    <t>20–21:1</t>
  </si>
  <si>
    <t>Db4–Eb4</t>
  </si>
  <si>
    <t>E4–Gb4</t>
  </si>
  <si>
    <t>18–21:1</t>
  </si>
  <si>
    <t>≈ CROSSOVER POINT</t>
  </si>
  <si>
    <t>G4–Bb4</t>
  </si>
  <si>
    <t>17–20:1</t>
  </si>
  <si>
    <t>Model overestimates ↓</t>
  </si>
  <si>
    <t>B4–D5</t>
  </si>
  <si>
    <t>17–19:1</t>
  </si>
  <si>
    <t>Eb5–E5</t>
  </si>
  <si>
    <t>18–19:1</t>
  </si>
  <si>
    <t>F5–Ab5</t>
  </si>
  <si>
    <t>Pattern Analysis:</t>
  </si>
  <si>
    <t>Large bores (≥1.0"): Open-tube formula underestimates K2 by 0.5–1.6%. More end-correction is needed — wider bores have</t>
  </si>
  <si>
    <t xml:space="preserve">  proportionally more air movement at the sound hole edge, increasing the effective tube extension.</t>
  </si>
  <si>
    <t>Small bores (≤0.75"): Formula overestimates K2 by 0.7–6.0%. Narrower bores have higher wall-friction losses</t>
  </si>
  <si>
    <t xml:space="preserve">  and viscous damping that effectively shorten the resonating air column.</t>
  </si>
  <si>
    <t>Crossover: ~0.875" bore (E4–Gb4 range). The formula is most accurate at this bore diameter.</t>
  </si>
  <si>
    <t>Chamber-to-bore ratio: Tony targets 17:1–21:1 across all keys. Sweet spot ~19:1.</t>
  </si>
  <si>
    <t>SECTION 4: CENT DEVIATION CALCULATOR</t>
  </si>
  <si>
    <t>Enter measured frequency to see how far off from equal temperament target (in cents).</t>
  </si>
  <si>
    <t>1 cent = 1/100th of a semitone. +/-5 cents = good. +/-10 = acceptable. +/-25+ = needs correction.</t>
  </si>
  <si>
    <t>INPUT</t>
  </si>
  <si>
    <t>Target Note</t>
  </si>
  <si>
    <t>Target Octave</t>
  </si>
  <si>
    <t>Measured Frequency (Hz)</t>
  </si>
  <si>
    <t>Temperature (F)</t>
  </si>
  <si>
    <t>Lookup Key</t>
  </si>
  <si>
    <t>RESULTS</t>
  </si>
  <si>
    <t>Target ET Frequency (Hz)</t>
  </si>
  <si>
    <t>Temp-Adjusted Target (Hz)</t>
  </si>
  <si>
    <t>Deviation (cents)</t>
  </si>
  <si>
    <t>Deviation (Hz)</t>
  </si>
  <si>
    <t>Quality</t>
  </si>
  <si>
    <t>FULL SCALE TUNING CHECK</t>
  </si>
  <si>
    <t>Enter your flute key, then measured frequencies for each hole. Uses temperature from above.</t>
  </si>
  <si>
    <t>Flute Key</t>
  </si>
  <si>
    <t>Fingering</t>
  </si>
  <si>
    <t>Target Hz</t>
  </si>
  <si>
    <t>Adj. Hz</t>
  </si>
  <si>
    <t>Measured Hz</t>
  </si>
  <si>
    <t>Cents Off</t>
  </si>
  <si>
    <t>Action</t>
  </si>
  <si>
    <t>All Closed</t>
  </si>
  <si>
    <t>Units</t>
  </si>
  <si>
    <t>U-Notch Width</t>
  </si>
  <si>
    <t>U-Notch Depth</t>
  </si>
  <si>
    <t>End Correction (0.6r)</t>
  </si>
  <si>
    <t>DIATONIC MAJOR SCALE (7 Holes)</t>
  </si>
  <si>
    <t>Thumb Hole 7 Note</t>
  </si>
  <si>
    <t>Thumb Hole 7 Freq</t>
  </si>
  <si>
    <t>Thumb Hole 7 Diameter</t>
  </si>
  <si>
    <t>Thumb Hole 7 Dist from End</t>
  </si>
  <si>
    <t>Xiao Family (箫) — CNC Design Table</t>
  </si>
  <si>
    <t>Bei Xiao (北箫) · Nan Xiao (南箫) · Qin Xiao (琴箫) — 8-Hole Chromatic Scale</t>
  </si>
  <si>
    <t>Root Note</t>
  </si>
  <si>
    <t>Xiao Key Name</t>
  </si>
  <si>
    <t>→</t>
  </si>
  <si>
    <t>(4th hole)</t>
  </si>
  <si>
    <t>BEI XIAO (北箫) — Northern, Capped U-Notch</t>
  </si>
  <si>
    <t>Mouthpiece Length</t>
  </si>
  <si>
    <t>Cap Type</t>
  </si>
  <si>
    <t>NAN XIAO (南箫) — Southern, Open Mouthpiece</t>
  </si>
  <si>
    <t>Root End</t>
  </si>
  <si>
    <t>QIN XIAO (琴箫) — Narrow, Guqin Companion</t>
  </si>
  <si>
    <t>Acoustic Length (in)</t>
  </si>
  <si>
    <t>End Correction</t>
  </si>
  <si>
    <t>8-HOLE SCALE TABLE</t>
  </si>
  <si>
    <t>Fundamental Freq (Hz)</t>
  </si>
  <si>
    <t>Hole 1 (RH pinky)</t>
  </si>
  <si>
    <t>Diameter (in)</t>
  </si>
  <si>
    <t>Dist. from End (in)</t>
  </si>
  <si>
    <t>Hole 2 (RH ring)</t>
  </si>
  <si>
    <t>Hole 3 (RH middle)</t>
  </si>
  <si>
    <t>Hole 4 (RH index)</t>
  </si>
  <si>
    <t>Hole 5 (LH ring)</t>
  </si>
  <si>
    <t>Hole 6 (LH middle)</t>
  </si>
  <si>
    <t>Hole 7 (LH index)</t>
  </si>
  <si>
    <t>Hole 8 (LH thumb)</t>
  </si>
  <si>
    <t>Capped U-notch</t>
  </si>
  <si>
    <t>Open + bamboo root</t>
  </si>
  <si>
    <t>Capped U-notch (narrow)</t>
  </si>
  <si>
    <t>Duduk Family — CNC Design Table</t>
  </si>
  <si>
    <t>STOPPED PIPE: f = c/(4·L) — bore is half the length of equivalent open flute. UNESCO Intangible Heritage.</t>
  </si>
  <si>
    <t>Root Note (all closed)</t>
  </si>
  <si>
    <t>Duduk Key Name</t>
  </si>
  <si>
    <t>Body Length (in)</t>
  </si>
  <si>
    <t>Body Length (cm)</t>
  </si>
  <si>
    <t>(root+3)</t>
  </si>
  <si>
    <t>ARMENIAN DUDUK (ծիրdelays) — Apricot Wood, Warm/Soft</t>
  </si>
  <si>
    <t>Outer Diameter</t>
  </si>
  <si>
    <t>Reed Length (in)</t>
  </si>
  <si>
    <t>Reed Width (in)</t>
  </si>
  <si>
    <t>TURKISH MEY — Plum/Walnut, Bright/Nasally</t>
  </si>
  <si>
    <t>AZERBAIJANI BALABAN — Mulberry, Reedy/Penetrating</t>
  </si>
  <si>
    <t>GEORGIAN DUDUKI — Similar to Armenian, Narrower</t>
  </si>
  <si>
    <t>STOPPED-PIPE ACOUSTIC MODEL</t>
  </si>
  <si>
    <t>Reed Eff. Length (in)</t>
  </si>
  <si>
    <t>c/(4·f)</t>
  </si>
  <si>
    <t>DIATONIC SCALE (9 holes: 8 front + thumb)</t>
  </si>
  <si>
    <t>Fundamental (Root)</t>
  </si>
  <si>
    <t>Hole 8 (top front)</t>
  </si>
  <si>
    <t>Thumb Hole 9</t>
  </si>
  <si>
    <t>Apricot</t>
  </si>
  <si>
    <t>Plum/Walnut</t>
  </si>
  <si>
    <t>Mulberry</t>
  </si>
  <si>
    <t>Apricot/Similar</t>
  </si>
  <si>
    <t>Moseño (Mohoseño) — CNC Design Table</t>
  </si>
  <si>
    <t>Bolivian Duct Flute · External Blow Pipe · 6 Finger Holes + 4 Tuning Holes · Diatonic Scale</t>
  </si>
  <si>
    <t>Key (Fundamental)</t>
  </si>
  <si>
    <t>MAIN BORE DIMENSIONS</t>
  </si>
  <si>
    <t>Fipple Depth</t>
  </si>
  <si>
    <t>BLOW PIPE (Air Duct)</t>
  </si>
  <si>
    <t>Blow Pipe Length</t>
  </si>
  <si>
    <t>Blow Pipe ID</t>
  </si>
  <si>
    <t>Blow Pipe Wall</t>
  </si>
  <si>
    <t>Total Instrument Length</t>
  </si>
  <si>
    <t>SIZE VARIANTS</t>
  </si>
  <si>
    <t>Salliwa (Bass)</t>
  </si>
  <si>
    <t>Eraso (Tenor)</t>
  </si>
  <si>
    <t>Licu (Alto)</t>
  </si>
  <si>
    <t>Chili (Soprano)</t>
  </si>
  <si>
    <t>Length (cm)</t>
  </si>
  <si>
    <t>DIATONIC MAJOR SCALE (6 holes)</t>
  </si>
  <si>
    <t>Hole 1 (RH ring)</t>
  </si>
  <si>
    <t>Hole 2 (RH middle)</t>
  </si>
  <si>
    <t>Hole 3 (RH index)</t>
  </si>
  <si>
    <t>Hole 4 (LH ring)</t>
  </si>
  <si>
    <t>Hole 5 (LH middle)</t>
  </si>
  <si>
    <t>Hole 6 (LH index)</t>
  </si>
  <si>
    <t>TUNING HOLES (4 lateral)</t>
  </si>
  <si>
    <t>Tuning Hole 1 Dist.</t>
  </si>
  <si>
    <t>Tuning Hole 2 Dist.</t>
  </si>
  <si>
    <t>Tuning Hole 3 Dist.</t>
  </si>
  <si>
    <t>Tuning Hole 4 Dist.</t>
  </si>
  <si>
    <t>Tuning Hole Diameter</t>
  </si>
  <si>
    <t>✓</t>
  </si>
  <si>
    <t>Kena (Quena) &amp; Kenacho — CNC Design Table</t>
  </si>
  <si>
    <t>7-Hole Diatonic Major · U-Notch Embouchure · Kena (G4+) &amp; Kenacho (D3–F#4)</t>
  </si>
  <si>
    <t>G# 3</t>
  </si>
  <si>
    <t>A# 3</t>
  </si>
  <si>
    <t>← KENACHO (D3–F#4) →</t>
  </si>
  <si>
    <t>Lower register, wider bore, typically in D</t>
  </si>
  <si>
    <t>Andean Duct Flutes — Pinkullo &amp; Tarka CNC Design Table</t>
  </si>
  <si>
    <t>Pinkullo (Bamboo/Cane, Round) · Tarka (Hardwood, Square Exterior / Round Bore) · 6-Hole Diatonic</t>
  </si>
  <si>
    <t>PINKULLO — Bamboo/Cane Duct Flute</t>
  </si>
  <si>
    <t>Fipple Length</t>
  </si>
  <si>
    <t>Windway Width</t>
  </si>
  <si>
    <t>Windway Height</t>
  </si>
  <si>
    <t>Material</t>
  </si>
  <si>
    <t>TARKA — Hardwood Block Flute, Square Exterior</t>
  </si>
  <si>
    <t>Bore ID (round, in)</t>
  </si>
  <si>
    <t>Exterior Width</t>
  </si>
  <si>
    <t>Exterior Height</t>
  </si>
  <si>
    <t>Wall to Bore (min)</t>
  </si>
  <si>
    <t>Fipple Block Length</t>
  </si>
  <si>
    <t>Size Class</t>
  </si>
  <si>
    <t>CNC EXTERIOR CARVING SPECS</t>
  </si>
  <si>
    <t>Carving Depth (in)</t>
  </si>
  <si>
    <t>Carving Pattern Width</t>
  </si>
  <si>
    <t>Min Wall After Carving</t>
  </si>
  <si>
    <t>Carving Bit Diameter</t>
  </si>
  <si>
    <t>Paint Channel Depth</t>
  </si>
  <si>
    <t>6-HOLE DIATONIC MAJOR SCALE</t>
  </si>
  <si>
    <t>Bamboo/Cane</t>
  </si>
  <si>
    <t>Tayka (bass)</t>
  </si>
  <si>
    <t>Mara/Mahogany</t>
  </si>
  <si>
    <t>Ankuta (mid)</t>
  </si>
  <si>
    <t>Suli (treble)</t>
  </si>
  <si>
    <t>Siku (Zampoña) — Pan Flute CNC Design Table</t>
  </si>
  <si>
    <t>Arka (7 tubes, female) + Ira (6 tubes, male) · Splittable for Duet</t>
  </si>
  <si>
    <t>Root Note (lowest)</t>
  </si>
  <si>
    <t>Siku Key Name</t>
  </si>
  <si>
    <t>ARKA ROW — 7 Tubes (♀ Female)</t>
  </si>
  <si>
    <t>Arka 1</t>
  </si>
  <si>
    <t>Tube Length (in)</t>
  </si>
  <si>
    <t>Arka 2</t>
  </si>
  <si>
    <t>Arka 3</t>
  </si>
  <si>
    <t>Arka 4</t>
  </si>
  <si>
    <t>Arka 5</t>
  </si>
  <si>
    <t>Arka 6</t>
  </si>
  <si>
    <t>Arka 7</t>
  </si>
  <si>
    <t>IRA ROW — 6 Tubes (♂ Male)</t>
  </si>
  <si>
    <t>Ira 1</t>
  </si>
  <si>
    <t>Ira 2</t>
  </si>
  <si>
    <t>Ira 3</t>
  </si>
  <si>
    <t>Ira 4</t>
  </si>
  <si>
    <t>Ira 5</t>
  </si>
  <si>
    <t>Ira 6</t>
  </si>
  <si>
    <t>CNC ASSEMBLY SPECS</t>
  </si>
  <si>
    <t>Longest Tube (in)</t>
  </si>
  <si>
    <t>Shortest Tube (in)</t>
  </si>
  <si>
    <t>Tube Spacing</t>
  </si>
  <si>
    <t>Total Frame Width</t>
  </si>
  <si>
    <t>Duet Split?</t>
  </si>
  <si>
    <t>Toyo (bass)</t>
  </si>
  <si>
    <t>Arka ♀ + Ira ♂</t>
  </si>
  <si>
    <t>D# 3</t>
  </si>
  <si>
    <t>Zanka (tenor)</t>
  </si>
  <si>
    <t>Malta (alto)</t>
  </si>
  <si>
    <t>Chili (soprano)</t>
  </si>
  <si>
    <t>Slit-Tongue Drum — CNC Design &amp; DOE Protocol</t>
  </si>
  <si>
    <t>Cantilever Beam Model: f = K × t / L²  ·  tonykoop/tongue-drum</t>
  </si>
  <si>
    <t>MATERIAL LIBRARY</t>
  </si>
  <si>
    <t>E (GPa)</t>
  </si>
  <si>
    <t>ρ (kg/m³)</t>
  </si>
  <si>
    <t>K (imperial)</t>
  </si>
  <si>
    <t>Color</t>
  </si>
  <si>
    <t>Tonewoood Rating</t>
  </si>
  <si>
    <t>Padauk</t>
  </si>
  <si>
    <t>Red-Orange</t>
  </si>
  <si>
    <t>★★★★★</t>
  </si>
  <si>
    <t>Wenge</t>
  </si>
  <si>
    <t>Dark Brown</t>
  </si>
  <si>
    <t>Cream</t>
  </si>
  <si>
    <t>★★★★</t>
  </si>
  <si>
    <t>Pink-Brown</t>
  </si>
  <si>
    <t>Tan</t>
  </si>
  <si>
    <t>★★★</t>
  </si>
  <si>
    <t>Baltic Birch Ply</t>
  </si>
  <si>
    <t>Light Tan</t>
  </si>
  <si>
    <t>Reddish</t>
  </si>
  <si>
    <t>Red</t>
  </si>
  <si>
    <t>TONGUE LENGTH CALCULATOR</t>
  </si>
  <si>
    <t>Selected Material</t>
  </si>
  <si>
    <t>K Constant</t>
  </si>
  <si>
    <t>Soundboard Thickness (in)</t>
  </si>
  <si>
    <t>Tongue Width (in)</t>
  </si>
  <si>
    <t>Slit Width (kerf, in)</t>
  </si>
  <si>
    <t>← Pick from library</t>
  </si>
  <si>
    <t>← 1/4" = 0.250</t>
  </si>
  <si>
    <t>← Affects volume, NOT pitch</t>
  </si>
  <si>
    <t>← CNC bit width for slits</t>
  </si>
  <si>
    <t>MIDI</t>
  </si>
  <si>
    <t>Tongue Length (in)</t>
  </si>
  <si>
    <t>Tongue Length (mm)</t>
  </si>
  <si>
    <t>Pitch Space (in)</t>
  </si>
  <si>
    <t>C#3</t>
  </si>
  <si>
    <t>D3</t>
  </si>
  <si>
    <t>D#3</t>
  </si>
  <si>
    <t>E3</t>
  </si>
  <si>
    <t>F3</t>
  </si>
  <si>
    <t>F#3</t>
  </si>
  <si>
    <t>G#3</t>
  </si>
  <si>
    <t>A#3</t>
  </si>
  <si>
    <t>C#4</t>
  </si>
  <si>
    <t>D#4</t>
  </si>
  <si>
    <t>G#4</t>
  </si>
  <si>
    <t>A#4</t>
  </si>
  <si>
    <t>C#5</t>
  </si>
  <si>
    <t>D#5</t>
  </si>
  <si>
    <t>F#5</t>
  </si>
  <si>
    <t>G#5</t>
  </si>
  <si>
    <t>A#5</t>
  </si>
  <si>
    <t>THREE DRUM DESIGNS</t>
  </si>
  <si>
    <t>SMALL (Magazine Baseline)</t>
  </si>
  <si>
    <t>6"×9" box, 1/4" top, 8 tongues</t>
  </si>
  <si>
    <t>Thickness:</t>
  </si>
  <si>
    <t>Length (in)</t>
  </si>
  <si>
    <t>Length (mm)</t>
  </si>
  <si>
    <t>MEDIUM (Bilateral Design)</t>
  </si>
  <si>
    <t>9"×12" box, 3/8" top, 12 tongues (6/side)</t>
  </si>
  <si>
    <t>LARGE (Extended Range)</t>
  </si>
  <si>
    <t>12"×18" box, 1/2" top, 16 tongues</t>
  </si>
  <si>
    <t>DOE PROTOCOL — Cantilever Scaling Validation</t>
  </si>
  <si>
    <t>Factor</t>
  </si>
  <si>
    <t>Levels</t>
  </si>
  <si>
    <t>A: Material</t>
  </si>
  <si>
    <t>3: Padauk, Walnut, Baltic Birch</t>
  </si>
  <si>
    <t>Spans E/ρ range</t>
  </si>
  <si>
    <t>B: Thickness</t>
  </si>
  <si>
    <t>3: 1/4", 3/8", 1/2"</t>
  </si>
  <si>
    <t>Standard lumber dims</t>
  </si>
  <si>
    <t>C: Target Freq</t>
  </si>
  <si>
    <t>5: C3, G3, C4, G4, C5</t>
  </si>
  <si>
    <t>2-octave range</t>
  </si>
  <si>
    <t>D: Width</t>
  </si>
  <si>
    <t>2: 0.75", 1.0"</t>
  </si>
  <si>
    <t>Control for volume</t>
  </si>
  <si>
    <t>E: Slit Width</t>
  </si>
  <si>
    <t>2: 1/8", 3/16"</t>
  </si>
  <si>
    <t>CNC bit options</t>
  </si>
  <si>
    <t>Response Variables</t>
  </si>
  <si>
    <t>Measurement Method</t>
  </si>
  <si>
    <t>Measured Freq (Hz)</t>
  </si>
  <si>
    <t>Chromatic tuner</t>
  </si>
  <si>
    <t>Predicted Freq (Hz)</t>
  </si>
  <si>
    <t>K×t/L² formula</t>
  </si>
  <si>
    <t>Error (cents)</t>
  </si>
  <si>
    <t>Sustain (seconds)</t>
  </si>
  <si>
    <t>Time to -60dB</t>
  </si>
  <si>
    <t>Volume (dB SPL)</t>
  </si>
  <si>
    <t>Sound meter at 1m</t>
  </si>
  <si>
    <t>Procedure</t>
  </si>
  <si>
    <t>1. Cut test tongue to predicted L</t>
  </si>
  <si>
    <t>Use CNC for precision</t>
  </si>
  <si>
    <t>2. Measure actual frequency</t>
  </si>
  <si>
    <t>Tuner app, 3 strikes avg</t>
  </si>
  <si>
    <t>3. Record error in cents</t>
  </si>
  <si>
    <t>Target: |error| &lt; 10¢</t>
  </si>
  <si>
    <t>4. If |error| &gt; 10¢, shorten/file</t>
  </si>
  <si>
    <t>Re-measure after each pass</t>
  </si>
  <si>
    <t>5. Record final L → back-calc K</t>
  </si>
  <si>
    <t>K_actual = f×L²/t</t>
  </si>
  <si>
    <t>6. After all runs: fit K per species</t>
  </si>
  <si>
    <t>Update material library</t>
  </si>
  <si>
    <t>Marimba — CNC Bar &amp; Arch Design Table</t>
  </si>
  <si>
    <t>Free-Free Beam Model: f = K × t / L²  ·  λ₁ = 4.730  ·  Nodes at 22.4% from each end</t>
  </si>
  <si>
    <t>K (marimba)</t>
  </si>
  <si>
    <t>Use</t>
  </si>
  <si>
    <t>Honduras Rosewood</t>
  </si>
  <si>
    <t>Professional standard</t>
  </si>
  <si>
    <t>African Padauk</t>
  </si>
  <si>
    <t>Pro alternative to rosewood</t>
  </si>
  <si>
    <t>Purpleheart</t>
  </si>
  <si>
    <t>Bright, hard</t>
  </si>
  <si>
    <t>Workshop/education builds</t>
  </si>
  <si>
    <t>Warm tone, easy to work</t>
  </si>
  <si>
    <t>Rich dark tone</t>
  </si>
  <si>
    <t>Very resonant, splinters easily</t>
  </si>
  <si>
    <t>Warm, can crack over time</t>
  </si>
  <si>
    <t>Synthetic (Kelon/FRP)</t>
  </si>
  <si>
    <t>Weather-resistant, outdoor use</t>
  </si>
  <si>
    <t>BAR DIMENSIONS CALCULATOR</t>
  </si>
  <si>
    <t>← Pick from library above</t>
  </si>
  <si>
    <t>Bar Thickness (in)</t>
  </si>
  <si>
    <t>← 7/8" standard</t>
  </si>
  <si>
    <t>Min Center Thickness (in)</t>
  </si>
  <si>
    <t>← 1/4" minimum for durability</t>
  </si>
  <si>
    <t>Freq (Hz)</t>
  </si>
  <si>
    <t>Bar Length (in)</t>
  </si>
  <si>
    <t>Bar Length (mm)</t>
  </si>
  <si>
    <t>Width (in)</t>
  </si>
  <si>
    <t>Node 1 (in)</t>
  </si>
  <si>
    <t>Node 2 (in)</t>
  </si>
  <si>
    <t>Arch Depth (in)</t>
  </si>
  <si>
    <t>Center Thick (in)</t>
  </si>
  <si>
    <t>Resonator (in)</t>
  </si>
  <si>
    <t>C#6</t>
  </si>
  <si>
    <t>D#6</t>
  </si>
  <si>
    <t>F#6</t>
  </si>
  <si>
    <t>G#6</t>
  </si>
  <si>
    <t>A#6</t>
  </si>
  <si>
    <t>CNC ARCH CUTTING SPECS</t>
  </si>
  <si>
    <t>Parameter</t>
  </si>
  <si>
    <t>Value</t>
  </si>
  <si>
    <t>Arch Profile</t>
  </si>
  <si>
    <t>Parabolic</t>
  </si>
  <si>
    <t>depth(x) = d_max × (1 - (2x/L_arch)²)</t>
  </si>
  <si>
    <t>Arch Length</t>
  </si>
  <si>
    <t>60% of bar length</t>
  </si>
  <si>
    <t>Centered on bar middle</t>
  </si>
  <si>
    <t>Ball-End Mill Diameter</t>
  </si>
  <si>
    <t>0.750"</t>
  </si>
  <si>
    <t>3/4" for bass, 1/2" for treble</t>
  </si>
  <si>
    <t>Step-Over</t>
  </si>
  <si>
    <t>50% of bit diameter</t>
  </si>
  <si>
    <t>0.375" passes for 3/4" bit</t>
  </si>
  <si>
    <t>Depth per Pass</t>
  </si>
  <si>
    <t>0.125"</t>
  </si>
  <si>
    <t>1/8" max per CNC pass</t>
  </si>
  <si>
    <t>Feed Rate</t>
  </si>
  <si>
    <t>40 ipm</t>
  </si>
  <si>
    <t>Padauk/rosewood; 60 ipm for softer woods</t>
  </si>
  <si>
    <t>Spindle Speed</t>
  </si>
  <si>
    <t>18,000 RPM</t>
  </si>
  <si>
    <t>Ball-end mill in hardwood</t>
  </si>
  <si>
    <t>Holding Method</t>
  </si>
  <si>
    <t>Vacuum table + clamps</t>
  </si>
  <si>
    <t>Bar must not shift during arch cut</t>
  </si>
  <si>
    <t>Passes for 0.625" arch</t>
  </si>
  <si>
    <t>5 passes</t>
  </si>
  <si>
    <t>BUILD SPECIFICATIONS</t>
  </si>
  <si>
    <t>Full 4.5-Octave (C2-F6)</t>
  </si>
  <si>
    <t>Portable 2.5-Octave (C4-F6)</t>
  </si>
  <si>
    <t>Range</t>
  </si>
  <si>
    <t>C2-F6 (54 bars)</t>
  </si>
  <si>
    <t>C4-F6 (30 bars)</t>
  </si>
  <si>
    <t>Frame Length</t>
  </si>
  <si>
    <t>~8 feet</t>
  </si>
  <si>
    <t>~4 feet</t>
  </si>
  <si>
    <t>Longest Bar</t>
  </si>
  <si>
    <t>~32" (C2)</t>
  </si>
  <si>
    <t>~16" (C4)</t>
  </si>
  <si>
    <t>Shortest Bar</t>
  </si>
  <si>
    <t>~5" (F6)</t>
  </si>
  <si>
    <t>Bar Thickness</t>
  </si>
  <si>
    <t>7/8" (add glue blocks for C2-D#3)</t>
  </si>
  <si>
    <t>7/8" uniform</t>
  </si>
  <si>
    <t>Material (lbf)</t>
  </si>
  <si>
    <t>~40 bd ft Padauk</t>
  </si>
  <si>
    <t>~12 bd ft Padauk</t>
  </si>
  <si>
    <t>Resonators</t>
  </si>
  <si>
    <t>54 PVC tubes (Sch 20)</t>
  </si>
  <si>
    <t>30 PVC tubes (Sch 20)</t>
  </si>
  <si>
    <t>Resonator Bore</t>
  </si>
  <si>
    <t>4" PVC bass, 2" PVC treble</t>
  </si>
  <si>
    <t>3" PVC bass, 1.5" treble</t>
  </si>
  <si>
    <t>Rail Spacing</t>
  </si>
  <si>
    <t>Graduated, 22.4% of each bar</t>
  </si>
  <si>
    <t>Cord Hole Diameter</t>
  </si>
  <si>
    <t>1/4" at node positions</t>
  </si>
  <si>
    <t>Resonant Box Family — CNC Hybrid Instrument</t>
  </si>
  <si>
    <t>Cantilever Tongues × Helmholtz Chambers · Struck Top, Tuned Cavity Below · tonykoop original</t>
  </si>
  <si>
    <t>DESIGN INPUTS</t>
  </si>
  <si>
    <t>Soundboard Material</t>
  </si>
  <si>
    <t>← From Tongue Drum material library</t>
  </si>
  <si>
    <t>K Constant (cantilever)</t>
  </si>
  <si>
    <t>← Looked up from Tongue Drum sheet</t>
  </si>
  <si>
    <t>← 3/8" standard</t>
  </si>
  <si>
    <t>← 7/8" (affects volume, not pitch)</t>
  </si>
  <si>
    <t>Slit Width / CNC Kerf (in)</t>
  </si>
  <si>
    <t>← 1/8" upcut spiral bit</t>
  </si>
  <si>
    <t>Body Material</t>
  </si>
  <si>
    <t>Body Depth Below Tongues (in)</t>
  </si>
  <si>
    <t>← Limits max chamber depth</t>
  </si>
  <si>
    <t>Bottom Wall Thickness (in)</t>
  </si>
  <si>
    <t>← Min structural floor under chambers</t>
  </si>
  <si>
    <t>Speed of Sound (in/s)</t>
  </si>
  <si>
    <t>← 68°F standard</t>
  </si>
  <si>
    <t>COUPLED DESIGN TABLE — Tongue + Chamber Per Note</t>
  </si>
  <si>
    <t>TONGUE</t>
  </si>
  <si>
    <t>HELMHOLTZ CHAMBER</t>
  </si>
  <si>
    <t>COUPLING</t>
  </si>
  <si>
    <t>Pitch Space</t>
  </si>
  <si>
    <t>Tube L (in)</t>
  </si>
  <si>
    <t>Pocket Ø (in)</t>
  </si>
  <si>
    <t>Pocket Depth</t>
  </si>
  <si>
    <t>Neck Ø (in)</t>
  </si>
  <si>
    <t>Freq Match?</t>
  </si>
  <si>
    <t>THE FAMILY OF FIVE</t>
  </si>
  <si>
    <t>Name</t>
  </si>
  <si>
    <t>Tongues</t>
  </si>
  <si>
    <t>Soundboard</t>
  </si>
  <si>
    <t>Body Wood</t>
  </si>
  <si>
    <t>1. Seed</t>
  </si>
  <si>
    <t>Pentatonic minor</t>
  </si>
  <si>
    <t>Proof of concept</t>
  </si>
  <si>
    <t>2. Bloom</t>
  </si>
  <si>
    <t>Diatonic major</t>
  </si>
  <si>
    <t>3. Grove</t>
  </si>
  <si>
    <t>Full chromatic</t>
  </si>
  <si>
    <t>4. Canopy</t>
  </si>
  <si>
    <t>5. Root</t>
  </si>
  <si>
    <t>CNC TOOLPATH SPECIFICATIONS</t>
  </si>
  <si>
    <t>Tool</t>
  </si>
  <si>
    <t>40 IPM</t>
  </si>
  <si>
    <t>Depth Per Pass</t>
  </si>
  <si>
    <t>Block LxWxD (in)</t>
  </si>
  <si>
    <t>Innovation</t>
  </si>
  <si>
    <t>C4-C5</t>
  </si>
  <si>
    <t>8 x 5 x 3</t>
  </si>
  <si>
    <t>3/8 Padauk</t>
  </si>
  <si>
    <t>G3-G4</t>
  </si>
  <si>
    <t>12 x 6 x 3</t>
  </si>
  <si>
    <t>Bilateral 4+4 layout</t>
  </si>
  <si>
    <t>C3-C4</t>
  </si>
  <si>
    <t>18 x 8 x 4</t>
  </si>
  <si>
    <t>3/8 Wenge</t>
  </si>
  <si>
    <t>2-tier chamber depths</t>
  </si>
  <si>
    <t>G3-C5</t>
  </si>
  <si>
    <t>Chromatic extended</t>
  </si>
  <si>
    <t>24 x 10 x 4</t>
  </si>
  <si>
    <t>Largest, 1.5 oct chromatic</t>
  </si>
  <si>
    <t>Diatonic bass</t>
  </si>
  <si>
    <t>20 x 10 x 6</t>
  </si>
  <si>
    <t>1/2 Padauk</t>
  </si>
  <si>
    <t>Floor-standing, deep chambers</t>
  </si>
  <si>
    <t>OP 1 - Top Face (Tongue Slits)</t>
  </si>
  <si>
    <t>1/8 upcut spiral endmill</t>
  </si>
  <si>
    <t>1/16 inch</t>
  </si>
  <si>
    <t>Total Depth</t>
  </si>
  <si>
    <t>= soundboard thickness (through-cut)</t>
  </si>
  <si>
    <t>Passes</t>
  </si>
  <si>
    <t>Profile</t>
  </si>
  <si>
    <t>U-shaped: straight sides + radius end</t>
  </si>
  <si>
    <t>OP 2 - Bottom Face (Chamber Pockets)</t>
  </si>
  <si>
    <t>3/4 flat-bottom endmill</t>
  </si>
  <si>
    <t>60 IPM</t>
  </si>
  <si>
    <t>1/8 inch</t>
  </si>
  <si>
    <t>Max Depth</t>
  </si>
  <si>
    <t>= body depth minus floor</t>
  </si>
  <si>
    <t>Max Passes</t>
  </si>
  <si>
    <t>Circular pocket, helical ramp entry</t>
  </si>
  <si>
    <t>50% (0.375 in)</t>
  </si>
  <si>
    <t>OP 3 - Bottom Face (Neck Bores)</t>
  </si>
  <si>
    <t>1/8 upcut spiral (same as Op 1)</t>
  </si>
  <si>
    <t>Purpose</t>
  </si>
  <si>
    <t>Connect chamber to tongue slit above</t>
  </si>
  <si>
    <t>Depth</t>
  </si>
  <si>
    <t>= through bottom wall</t>
  </si>
  <si>
    <t>Critical Note</t>
  </si>
  <si>
    <t>FLIP JIG required - datum pins in corners</t>
  </si>
  <si>
    <t>DESIGN NOTES</t>
  </si>
  <si>
    <t>1. Tongue freq set by LENGTH (L-squared dominates). Width sets volume only.</t>
  </si>
  <si>
    <t>2. Chamber freq depends on pocket volume and neck area. Tune by adjusting pocket depth.</t>
  </si>
  <si>
    <t>3. Coupling optimal when Helmholtz freq = tongue freq +/- 20%. Column J verifies.</t>
  </si>
  <si>
    <t>4. Low notes where tube length &gt; body depth: pocket cannot fully couple. Increase body depth.</t>
  </si>
  <si>
    <t>5. Start with SEED (5 tongues). Validate coupling before scaling to larger family members.</t>
  </si>
  <si>
    <t>6. For SolidWorks: export tongue lengths (col D) and pocket dims (cols G-I) as CSV for parametric model.</t>
  </si>
  <si>
    <t>Electric Guitar Bodies — BOM &amp; Build Method</t>
  </si>
  <si>
    <t>Two solid-body CNC builds · Detailed step-by-step process</t>
  </si>
  <si>
    <t>BODY 1 — STYLE A</t>
  </si>
  <si>
    <t>(update style name)</t>
  </si>
  <si>
    <t>BILL OF MATERIALS</t>
  </si>
  <si>
    <t>Category</t>
  </si>
  <si>
    <t>Item</t>
  </si>
  <si>
    <t>Qty</t>
  </si>
  <si>
    <t>Dimensions / Spec</t>
  </si>
  <si>
    <t>Supplier / Notes</t>
  </si>
  <si>
    <t>Est. Cost</t>
  </si>
  <si>
    <t>Body blank</t>
  </si>
  <si>
    <t>14" × 20" × 1.75"</t>
  </si>
  <si>
    <t>Alder / Ash / Mahogany</t>
  </si>
  <si>
    <t>Neck pocket template</t>
  </si>
  <si>
    <t>Matches neck heel</t>
  </si>
  <si>
    <t>MDF / Acrylic</t>
  </si>
  <si>
    <t>CNC-cut from CAD</t>
  </si>
  <si>
    <t>Hardware</t>
  </si>
  <si>
    <t>Bridge</t>
  </si>
  <si>
    <t>Tremolo or hardtail</t>
  </si>
  <si>
    <t>Chrome / Black</t>
  </si>
  <si>
    <t>Tuning machines</t>
  </si>
  <si>
    <t>Inline or 3+3</t>
  </si>
  <si>
    <t>Chrome</t>
  </si>
  <si>
    <t>If bolt-on neck</t>
  </si>
  <si>
    <t>Strap buttons</t>
  </si>
  <si>
    <t>Standard</t>
  </si>
  <si>
    <t>Output jack + plate</t>
  </si>
  <si>
    <t>1/4" mono</t>
  </si>
  <si>
    <t>Neck plate + screws</t>
  </si>
  <si>
    <t>4-bolt</t>
  </si>
  <si>
    <t>Bolt-on only</t>
  </si>
  <si>
    <t>Pickguard + screws</t>
  </si>
  <si>
    <t>3-ply or custom</t>
  </si>
  <si>
    <t>Per design</t>
  </si>
  <si>
    <t>String ferrules</t>
  </si>
  <si>
    <t>Through-body (if hardtail)</t>
  </si>
  <si>
    <t>Electronics</t>
  </si>
  <si>
    <t>Pickups</t>
  </si>
  <si>
    <t>SC / HB / P90</t>
  </si>
  <si>
    <t>Potentiometers</t>
  </si>
  <si>
    <t>250K (SC) or 500K (HB)</t>
  </si>
  <si>
    <t>CTS / Alpha</t>
  </si>
  <si>
    <t>Pickup selector switch</t>
  </si>
  <si>
    <t>3-way or 5-way</t>
  </si>
  <si>
    <t>Per pickup config</t>
  </si>
  <si>
    <t>Tone capacitor</t>
  </si>
  <si>
    <t>0.022µF or 0.047µF</t>
  </si>
  <si>
    <t>Orange Drop</t>
  </si>
  <si>
    <t>Hookup wire + solder</t>
  </si>
  <si>
    <t>22 AWG cloth-covered, ~3 ft</t>
  </si>
  <si>
    <t>60/40 rosin core</t>
  </si>
  <si>
    <t>Shielding (cavity)</t>
  </si>
  <si>
    <t>Copper foil or conductive paint</t>
  </si>
  <si>
    <t>For control + pickup cavities</t>
  </si>
  <si>
    <t>Finishing</t>
  </si>
  <si>
    <t>Grain filler</t>
  </si>
  <si>
    <t>If open-grain (ash, mahogany)</t>
  </si>
  <si>
    <t>Timbermate / Aqua Coat</t>
  </si>
  <si>
    <t>Sanding sealer</t>
  </si>
  <si>
    <t>Vinyl / shellac</t>
  </si>
  <si>
    <t>2 coats</t>
  </si>
  <si>
    <t>Color coat</t>
  </si>
  <si>
    <t>Nitro / Poly / Oil / Stain</t>
  </si>
  <si>
    <t>Clear coat</t>
  </si>
  <si>
    <t>Nitro lacquer or Poly</t>
  </si>
  <si>
    <t>4-8 coats</t>
  </si>
  <si>
    <t>Sandpaper assortment</t>
  </si>
  <si>
    <t>220/320/400/600/800/1000/1500/2000</t>
  </si>
  <si>
    <t>Wet/dry</t>
  </si>
  <si>
    <t>Polishing compound</t>
  </si>
  <si>
    <t>Swirl remover + final polish</t>
  </si>
  <si>
    <t>Meguiar's or 3M</t>
  </si>
  <si>
    <t>Consumables</t>
  </si>
  <si>
    <t>CNC bits (see method)</t>
  </si>
  <si>
    <t>1/4" upcut, 1/2" flat, 1/8" straight</t>
  </si>
  <si>
    <t>Carbide</t>
  </si>
  <si>
    <t>Workholding tape</t>
  </si>
  <si>
    <t>Double-sided carpet tape</t>
  </si>
  <si>
    <t>For CNC fixturing</t>
  </si>
  <si>
    <t>TOTAL →</t>
  </si>
  <si>
    <t>BUILD METHOD — BODY 1</t>
  </si>
  <si>
    <t>Step</t>
  </si>
  <si>
    <t>Phase</t>
  </si>
  <si>
    <t>Operation</t>
  </si>
  <si>
    <t>Tool / Bit</t>
  </si>
  <si>
    <t>Parameters</t>
  </si>
  <si>
    <t>Notes / Tips</t>
  </si>
  <si>
    <t>☑ Done</t>
  </si>
  <si>
    <t>CAD Prep</t>
  </si>
  <si>
    <t>Import body outline DXF/SVG into CAM software</t>
  </si>
  <si>
    <t>Computer</t>
  </si>
  <si>
    <t>Scale 1:1, verify 25.5" or 24.75" scale length</t>
  </si>
  <si>
    <t>Confirm neck pocket position on centerline</t>
  </si>
  <si>
    <t>Generate toolpaths: profile, pockets, drill ops</t>
  </si>
  <si>
    <t>CAM software</t>
  </si>
  <si>
    <t>Separate ops for each cavity type</t>
  </si>
  <si>
    <t>Save as individual G-code files</t>
  </si>
  <si>
    <t>Cut MDF spoilboard + alignment fixtures</t>
  </si>
  <si>
    <t>CNC, 1/4" upcut</t>
  </si>
  <si>
    <t>Register pins / dowel holes for flip jig</t>
  </si>
  <si>
    <t>Critical for back-side cavity alignment</t>
  </si>
  <si>
    <t>Stock Prep</t>
  </si>
  <si>
    <t>Joint, plane, glue-up blank (if needed)</t>
  </si>
  <si>
    <t>Jointer, planer, clamps</t>
  </si>
  <si>
    <t>Final thickness 1.75" (45mm)</t>
  </si>
  <si>
    <t>2-piece bookmatched preferred; let cure 24h</t>
  </si>
  <si>
    <t>Flatten blank on CNC (surfacing pass)</t>
  </si>
  <si>
    <t>CNC, 1" surfacing bit</t>
  </si>
  <si>
    <t>0.020" pass depth, 60% stepover</t>
  </si>
  <si>
    <t>Both faces; ensures parallel to CNC bed</t>
  </si>
  <si>
    <t>CNC — Top</t>
  </si>
  <si>
    <t>Rough-cut body profile (leave 0.030" skin)</t>
  </si>
  <si>
    <t>1/4" upcut spiral</t>
  </si>
  <si>
    <t>DOC 0.25", feed 80 IPM, 18K RPM</t>
  </si>
  <si>
    <t>Tabs to hold blank; use climb cut for clean edge</t>
  </si>
  <si>
    <t>Finish-cut body profile</t>
  </si>
  <si>
    <t>1/4" downcut spiral</t>
  </si>
  <si>
    <t>DOC full depth, feed 60 IPM, 18K RPM</t>
  </si>
  <si>
    <t>Removes tabs last; sand marks minimal</t>
  </si>
  <si>
    <t>Route neck pocket</t>
  </si>
  <si>
    <t>1/2" flat-bottom</t>
  </si>
  <si>
    <t>Depth per drawing (typically 5/8"-3/4")</t>
  </si>
  <si>
    <t>TEST FIT neck heel before proceeding</t>
  </si>
  <si>
    <t>Route pickup cavities</t>
  </si>
  <si>
    <t>1/4" upcut</t>
  </si>
  <si>
    <t>Depth ~1.5" (per pickup type)</t>
  </si>
  <si>
    <t>Verify with actual pickup dimensions</t>
  </si>
  <si>
    <t>Route control cavity (if top-load)</t>
  </si>
  <si>
    <t>Depth ~1.375"</t>
  </si>
  <si>
    <t>Or do from back (step 14)</t>
  </si>
  <si>
    <t>Drill bridge mounting holes</t>
  </si>
  <si>
    <t>Drill, per bridge spec</t>
  </si>
  <si>
    <t>Tremolo: 6 screws; Hardtail: 4-6 screws</t>
  </si>
  <si>
    <t>Use CNC for position accuracy</t>
  </si>
  <si>
    <t>Drill string-through holes (if hardtail)</t>
  </si>
  <si>
    <t>Drill, 3/16"</t>
  </si>
  <si>
    <t>Through body, back to front</t>
  </si>
  <si>
    <t>Must align with bridge saddles perfectly</t>
  </si>
  <si>
    <t>CNC — Back</t>
  </si>
  <si>
    <t>FLIP BODY — register on alignment pins</t>
  </si>
  <si>
    <t>Flip jig</t>
  </si>
  <si>
    <t>Verify centerline with dial indicator</t>
  </si>
  <si>
    <t>⚠️ CRITICAL: datum must be exact</t>
  </si>
  <si>
    <t>Route control cavity (back-load)</t>
  </si>
  <si>
    <t>Depth ~1.375", leave 1/4" floor</t>
  </si>
  <si>
    <t>Include wire channels to pickups</t>
  </si>
  <si>
    <t>Route tremolo spring cavity (if tremolo)</t>
  </si>
  <si>
    <t>3.5" × 1.5" × 1.5" deep typical</t>
  </si>
  <si>
    <t>Per tremolo block depth</t>
  </si>
  <si>
    <t>Drill wire channels between cavities</t>
  </si>
  <si>
    <t>Long 1/4" bit or drill press</t>
  </si>
  <si>
    <t>Angled bore, pickup to control</t>
  </si>
  <si>
    <t>Fish wire through to verify</t>
  </si>
  <si>
    <t>Counterbore string ferrule holes (if hardtail)</t>
  </si>
  <si>
    <t>3/8" Forstner</t>
  </si>
  <si>
    <t>Depth = ferrule flange + 1/16"</t>
  </si>
  <si>
    <t>Must align with front holes</t>
  </si>
  <si>
    <t>Route contour carves (belly cut, forearm cut)</t>
  </si>
  <si>
    <t>1/2" ball-end</t>
  </si>
  <si>
    <t>3D toolpath, 0.1" stepover, 0.125" DOC</t>
  </si>
  <si>
    <t>Per body style; sand to blend</t>
  </si>
  <si>
    <t>Hand Work</t>
  </si>
  <si>
    <t>Round over all body edges</t>
  </si>
  <si>
    <t>Router, 3/16" or 1/4" roundover bit</t>
  </si>
  <si>
    <t>Or by hand with rasp + 120-grit</t>
  </si>
  <si>
    <t>Leave neck pocket edges sharp</t>
  </si>
  <si>
    <t>Sand body: 120 → 150 → 220 → 320</t>
  </si>
  <si>
    <t>RO sander + hand</t>
  </si>
  <si>
    <t>Follow grain direction</t>
  </si>
  <si>
    <t>Inspect under raking light for scratches</t>
  </si>
  <si>
    <t>Apply grain filler (if open-grain)</t>
  </si>
  <si>
    <t>Squeegee / cloth</t>
  </si>
  <si>
    <t>Pack across grain, wipe with grain</t>
  </si>
  <si>
    <t>Let cure per product specs; sand 320</t>
  </si>
  <si>
    <t>Apply sanding sealer (2 coats)</t>
  </si>
  <si>
    <t>Spray gun or rattle can</t>
  </si>
  <si>
    <t>Light coats, 1 hr between</t>
  </si>
  <si>
    <t>Sand 400 between coats</t>
  </si>
  <si>
    <t>Apply color coats</t>
  </si>
  <si>
    <t>Spray</t>
  </si>
  <si>
    <t>3-4 light coats, 30 min between</t>
  </si>
  <si>
    <t>Hang body from neck pocket with wire</t>
  </si>
  <si>
    <t>Apply clear coats (4-8 coats)</t>
  </si>
  <si>
    <t>Wet coats, 1-2 hrs between</t>
  </si>
  <si>
    <t>Cure 2+ weeks (nitro) or 72h (poly)</t>
  </si>
  <si>
    <t>Wet-sand clear: 600 → 800 → 1000 → 1500 → 2000</t>
  </si>
  <si>
    <t>Wet/dry paper + block</t>
  </si>
  <si>
    <t>Flat surfaces only; curves by hand</t>
  </si>
  <si>
    <t>Naphtha between grits to check for orange peel</t>
  </si>
  <si>
    <t>Buff to high gloss</t>
  </si>
  <si>
    <t>Buffer / hand</t>
  </si>
  <si>
    <t>Swirl remover → fine polish</t>
  </si>
  <si>
    <t>Low speed buffer or microfiber by hand</t>
  </si>
  <si>
    <t>Assembly</t>
  </si>
  <si>
    <t>Shield control cavity with copper foil</t>
  </si>
  <si>
    <t>Copper tape + soldering iron</t>
  </si>
  <si>
    <t>Cover all interior surfaces; solder seams</t>
  </si>
  <si>
    <t>Ground to output jack sleeve</t>
  </si>
  <si>
    <t>Install bridge + string ferrules</t>
  </si>
  <si>
    <t>Screwdriver</t>
  </si>
  <si>
    <t>Pre-drill if not CNC'd; soap on screws</t>
  </si>
  <si>
    <t>Check string alignment to neck pocket</t>
  </si>
  <si>
    <t>Wire electronics: pickups → switch → pots → jack</t>
  </si>
  <si>
    <t>Soldering iron, 60/40</t>
  </si>
  <si>
    <t>Follow wiring diagram for config</t>
  </si>
  <si>
    <t>Test continuity with multimeter before closing</t>
  </si>
  <si>
    <t>Install pickguard (if applicable)</t>
  </si>
  <si>
    <t>#4 × 1/2" oval-head screws</t>
  </si>
  <si>
    <t>Pre-drill with 1/16" bit</t>
  </si>
  <si>
    <t>Bolt neck to body</t>
  </si>
  <si>
    <t>Screwdriver / hex key</t>
  </si>
  <si>
    <t>4-bolt with neck plate</t>
  </si>
  <si>
    <t>Check neck angle, string action, alignment</t>
  </si>
  <si>
    <t>Setup</t>
  </si>
  <si>
    <t>String up, set action, intonation, pickup height</t>
  </si>
  <si>
    <t>Allen keys, tuner, ruler</t>
  </si>
  <si>
    <t>Action: 4/64" bass, 3/64" treble at 12th fret</t>
  </si>
  <si>
    <t>Adjust truss rod if needed; intonate at 12th fret</t>
  </si>
  <si>
    <t>BODY 2 — STYLE B</t>
  </si>
  <si>
    <t>Same BOM structure as Body 1 — differences noted below:</t>
  </si>
  <si>
    <t>Body 1 Value</t>
  </si>
  <si>
    <t>Body 2 Value</t>
  </si>
  <si>
    <t>=E7</t>
  </si>
  <si>
    <t>Different body shape / dimensions?</t>
  </si>
  <si>
    <t>Wood species</t>
  </si>
  <si>
    <t>=F7</t>
  </si>
  <si>
    <t>Bridge type</t>
  </si>
  <si>
    <t>=E9</t>
  </si>
  <si>
    <t>Trem vs hardtail changes routing</t>
  </si>
  <si>
    <t>Pickup config</t>
  </si>
  <si>
    <t>=E16</t>
  </si>
  <si>
    <t>SSS / HSS / HH / HSH / P90s</t>
  </si>
  <si>
    <t>Switch type</t>
  </si>
  <si>
    <t>=E18</t>
  </si>
  <si>
    <t>Follows pickup config</t>
  </si>
  <si>
    <t>Scale length</t>
  </si>
  <si>
    <t>25.5"</t>
  </si>
  <si>
    <t>25.5" (Fender) / 24.75" (Gibson)</t>
  </si>
  <si>
    <t>Neck joint</t>
  </si>
  <si>
    <t>Bolt-on</t>
  </si>
  <si>
    <t>Bolt-on / Set-neck / Neck-through</t>
  </si>
  <si>
    <t>Contour carves</t>
  </si>
  <si>
    <t>Belly + forearm</t>
  </si>
  <si>
    <t>3D CNC ops in step 18</t>
  </si>
  <si>
    <t>Finish</t>
  </si>
  <si>
    <t>=E24</t>
  </si>
  <si>
    <t>Nitro / Poly / Oil / Natural</t>
  </si>
  <si>
    <t>BUILD METHOD — BODY 2</t>
  </si>
  <si>
    <t>Same 32-step process as Body 1 above. Key differences:</t>
  </si>
  <si>
    <t>• Steps 8-9: Pickup cavities sized per Body 2 config (D74)</t>
  </si>
  <si>
    <t>• Step 11: Bridge holes per Body 2 bridge type (D73)</t>
  </si>
  <si>
    <t>• Step 15: Spring cavity only if tremolo (D73)</t>
  </si>
  <si>
    <t>• Step 18: Contour carves per Body 2 style (D78)</t>
  </si>
  <si>
    <t>• Steps 23-24: Color/clear per Body 2 finish choice (D79)</t>
  </si>
  <si>
    <t>Electric Violin — BOM &amp; Build Method</t>
  </si>
  <si>
    <t>CNC solid-body electric violin · Detailed step-by-step process</t>
  </si>
  <si>
    <t>2" × 8" × 16"</t>
  </si>
  <si>
    <t>Maple / Walnut / Exotic</t>
  </si>
  <si>
    <t>Neck blank (if integrated)</t>
  </si>
  <si>
    <t>1.5" × 2.5" × 14"</t>
  </si>
  <si>
    <t>Hard Maple preferred</t>
  </si>
  <si>
    <t>Or neck-through body design</t>
  </si>
  <si>
    <t>Fingerboard</t>
  </si>
  <si>
    <t>1/4" × 1.25" × 11"</t>
  </si>
  <si>
    <t>Ebony / Rosewood</t>
  </si>
  <si>
    <t>Radiused 42mm at nut</t>
  </si>
  <si>
    <t>Tuning pegs</t>
  </si>
  <si>
    <t>Violin fine-tuner pegs or geared pegs</t>
  </si>
  <si>
    <t>Wittner / Knilling</t>
  </si>
  <si>
    <t>Standard violin bridge, fitted</t>
  </si>
  <si>
    <t>Must fit string spacing + radius</t>
  </si>
  <si>
    <t>Tailpiece</t>
  </si>
  <si>
    <t>Standard or integrated</t>
  </si>
  <si>
    <t>Alloy</t>
  </si>
  <si>
    <t>Chin rest</t>
  </si>
  <si>
    <t>Standard clamp-on or integrated</t>
  </si>
  <si>
    <t>Ebony / plastic</t>
  </si>
  <si>
    <t>End pin</t>
  </si>
  <si>
    <t>Threaded</t>
  </si>
  <si>
    <t>For tailgut attachment</t>
  </si>
  <si>
    <t>Nut</t>
  </si>
  <si>
    <t>24mm wide, 4-string</t>
  </si>
  <si>
    <t>Bone / Ebony</t>
  </si>
  <si>
    <t>Strings</t>
  </si>
  <si>
    <t>4/4 violin set (G-D-A-E)</t>
  </si>
  <si>
    <t>Dominant / D'Addario</t>
  </si>
  <si>
    <t>Piezo pickup</t>
  </si>
  <si>
    <t>Under-bridge piezo</t>
  </si>
  <si>
    <t>Fishman / Schatten / LR Baggs</t>
  </si>
  <si>
    <t>Preamp (optional)</t>
  </si>
  <si>
    <t>Active onboard or external</t>
  </si>
  <si>
    <t>Battery compartment needed if onboard</t>
  </si>
  <si>
    <t>Output jack</t>
  </si>
  <si>
    <t>1/4" endpin jack</t>
  </si>
  <si>
    <t>Combination endpin + jack</t>
  </si>
  <si>
    <t>Volume pot</t>
  </si>
  <si>
    <t>250K or 500K</t>
  </si>
  <si>
    <t>Small-body pot for violin frame</t>
  </si>
  <si>
    <t>22 AWG shielded</t>
  </si>
  <si>
    <t>Short runs, ~1 ft</t>
  </si>
  <si>
    <t>Oil finish or lacquer</t>
  </si>
  <si>
    <t>Tru-Oil / Danish Oil / Nitro</t>
  </si>
  <si>
    <t>Oil is typical for electric violins</t>
  </si>
  <si>
    <t>Sandpaper (220-600)</t>
  </si>
  <si>
    <t>220/320/400/600</t>
  </si>
  <si>
    <t>Less intensive than guitar</t>
  </si>
  <si>
    <t>CNC bits</t>
  </si>
  <si>
    <t>1/4" upcut, 1/8" straight, 1/2" ball-end</t>
  </si>
  <si>
    <t>BUILD METHOD</t>
  </si>
  <si>
    <t>Design body outline in CAD (top + side profile)</t>
  </si>
  <si>
    <t>SolidWorks / Fusion</t>
  </si>
  <si>
    <t>Full-size 4/4 violin body dimensions</t>
  </si>
  <si>
    <t>String length 328mm (13")</t>
  </si>
  <si>
    <t>Design neck profile (radius, taper, scroll or peg box)</t>
  </si>
  <si>
    <t>CAD</t>
  </si>
  <si>
    <t>Neck 130mm from nut to body joint</t>
  </si>
  <si>
    <t>Electric violins often skip the scroll</t>
  </si>
  <si>
    <t>Generate CNC toolpaths (profile + 3D carve)</t>
  </si>
  <si>
    <t>Roughing + finishing passes</t>
  </si>
  <si>
    <t>Two setups: top face + flip for back</t>
  </si>
  <si>
    <t>Joint, plane body blank to thickness</t>
  </si>
  <si>
    <t>Jointer, planer</t>
  </si>
  <si>
    <t>Target 2" (50mm) thick</t>
  </si>
  <si>
    <t>Or laminate contrasting woods</t>
  </si>
  <si>
    <t>Surface blank on CNC (both faces)</t>
  </si>
  <si>
    <t>0.020" per pass</t>
  </si>
  <si>
    <t>Ensures parallel to CNC bed</t>
  </si>
  <si>
    <t>Cut body outline profile</t>
  </si>
  <si>
    <t>DOC 0.25", feed 60 IPM, tabs to hold</t>
  </si>
  <si>
    <t>Leave bridge area flat for fitting</t>
  </si>
  <si>
    <t>3D-carve top surface (if sculpted body)</t>
  </si>
  <si>
    <t>Rough: 0.1" stepover; Finish: 0.04"</t>
  </si>
  <si>
    <t>Skeletal frame designs need internal pockets first</t>
  </si>
  <si>
    <t>Route pickup recess under bridge position</t>
  </si>
  <si>
    <t>1/8" straight</t>
  </si>
  <si>
    <t>Shallow pocket for piezo, depth per pickup</t>
  </si>
  <si>
    <t>Wire channel to electronics area</t>
  </si>
  <si>
    <t>Route electronics pocket (volume pot, jack)</t>
  </si>
  <si>
    <t>Depth per component stack-up</t>
  </si>
  <si>
    <t>Include wire channel to pickup</t>
  </si>
  <si>
    <t>Route neck pocket or tenon slot</t>
  </si>
  <si>
    <t>1/4" upcut + 1/8" for corners</t>
  </si>
  <si>
    <t>Snug fit; angle per neck set</t>
  </si>
  <si>
    <t>Or skip if neck-through design</t>
  </si>
  <si>
    <t>CNC — Flip</t>
  </si>
  <si>
    <t>Verify centerline</t>
  </si>
  <si>
    <t>⚠️ CRITICAL: datum alignment</t>
  </si>
  <si>
    <t>3D-carve back profile (weight reduction, ergonomic)</t>
  </si>
  <si>
    <t>Remove mass for balance; keep structural ribs</t>
  </si>
  <si>
    <t>Skeletal designs remove 40-60% of mass</t>
  </si>
  <si>
    <t>Route battery compartment (if active preamp)</t>
  </si>
  <si>
    <t>9V battery snap recess</t>
  </si>
  <si>
    <t>Skip if passive piezo only</t>
  </si>
  <si>
    <t>Neck</t>
  </si>
  <si>
    <t>Shape neck profile (CNC rough + hand carve)</t>
  </si>
  <si>
    <t>CNC 3D + rasps + sandpaper</t>
  </si>
  <si>
    <t>~21mm at nut, ~23mm at body</t>
  </si>
  <si>
    <t>Standard violin neck dimensions</t>
  </si>
  <si>
    <t>Glue fingerboard to neck</t>
  </si>
  <si>
    <t>Clamps, Titebond</t>
  </si>
  <si>
    <t>Align centerline; radius pre-set</t>
  </si>
  <si>
    <t>Let cure 24h before fretting... wait, no frets!</t>
  </si>
  <si>
    <t>Fit nut at top of fingerboard</t>
  </si>
  <si>
    <t>Files, sandpaper</t>
  </si>
  <si>
    <t>String spacing ~5mm, height ~0.5mm above FB</t>
  </si>
  <si>
    <t>Bone or ebony, shaped to radius</t>
  </si>
  <si>
    <t>Glue or bolt neck to body</t>
  </si>
  <si>
    <t>Clamps or bolts</t>
  </si>
  <si>
    <t>Check string break angle over bridge</t>
  </si>
  <si>
    <t>Neck angle critical for playability</t>
  </si>
  <si>
    <t>Sand body: 220 → 320 → 400 → 600</t>
  </si>
  <si>
    <t>Follow grain; ease all edges</t>
  </si>
  <si>
    <t>Electric violins often have minimal finish</t>
  </si>
  <si>
    <t>Apply oil finish (4-6 coats)</t>
  </si>
  <si>
    <t>Cloth, hand-rubbed</t>
  </si>
  <si>
    <t>Tru-Oil: thin coats, 4h between, sand 400</t>
  </si>
  <si>
    <t>Or spray nitro if high-gloss desired</t>
  </si>
  <si>
    <t>Install piezo pickup under bridge</t>
  </si>
  <si>
    <t>Per manufacturer</t>
  </si>
  <si>
    <t>Thin piezo disc or film</t>
  </si>
  <si>
    <t>Test signal before final assembly</t>
  </si>
  <si>
    <t>Wire: piezo → volume pot → output jack</t>
  </si>
  <si>
    <t>Soldering iron</t>
  </si>
  <si>
    <t>Shielded cable, short runs</t>
  </si>
  <si>
    <t>Ground to tailpiece/bridge if metal</t>
  </si>
  <si>
    <t>Install pegs, bridge, tailpiece, strings; tune + play</t>
  </si>
  <si>
    <t>Peg shaper (if trad pegs)</t>
  </si>
  <si>
    <t>G3-D4-A4-E5 standard tuning</t>
  </si>
  <si>
    <t>Fit bridge to body curve; adjust string height</t>
  </si>
  <si>
    <t>Floor Harp (34-String) — CNC Soundbox + Lathe Column</t>
  </si>
  <si>
    <t>Mersenne-Taylor String Schedule · CNC Soundbox · Lathe-Turned Pillar · Lever Harp</t>
  </si>
  <si>
    <t>Shortest String Length (in)</t>
  </si>
  <si>
    <t>String 1 (A6)</t>
  </si>
  <si>
    <t>Longest String Length (in)</t>
  </si>
  <si>
    <t>String 34 (C2)</t>
  </si>
  <si>
    <t>Target Tension — Treble (lbs)</t>
  </si>
  <si>
    <t>Strings 1–10</t>
  </si>
  <si>
    <t>Target Tension — Bass (lbs)</t>
  </si>
  <si>
    <t>Strings 25–34</t>
  </si>
  <si>
    <t>Nylon Density (lb/in³)</t>
  </si>
  <si>
    <t>Wound Density Factor</t>
  </si>
  <si>
    <t>× nylon density for wound bass</t>
  </si>
  <si>
    <t>Wound String Start (#)</t>
  </si>
  <si>
    <t>Strings 25+ use wound construction</t>
  </si>
  <si>
    <t>Oct</t>
  </si>
  <si>
    <t>Vib Len (in)</t>
  </si>
  <si>
    <t>Gauge (in)</t>
  </si>
  <si>
    <t>Tension (lbs)</t>
  </si>
  <si>
    <t>%Breaking</t>
  </si>
  <si>
    <t>STRING SCHEDULE — Mersenne-Taylor: T = μ × (2Lf)² / g</t>
  </si>
  <si>
    <t>Nylon</t>
  </si>
  <si>
    <t>White</t>
  </si>
  <si>
    <t>Blue</t>
  </si>
  <si>
    <t>Wound</t>
  </si>
  <si>
    <t>TOTALS</t>
  </si>
  <si>
    <t>Total Load →</t>
  </si>
  <si>
    <t>lbs</t>
  </si>
  <si>
    <t>← Vibrating lengths are BLUE INPUT cells — adjust for your neck curve</t>
  </si>
  <si>
    <t>STRUCTURAL ANALYSIS</t>
  </si>
  <si>
    <t>Total String Tension (lbs)</t>
  </si>
  <si>
    <t>Must not exceed frame capacity</t>
  </si>
  <si>
    <t>Safety Factor</t>
  </si>
  <si>
    <t>Frame should handle 2× string load</t>
  </si>
  <si>
    <t>Required Frame Strength (lbs)</t>
  </si>
  <si>
    <t>Neck Bending Moment (in-lbs)</t>
  </si>
  <si>
    <t>Approx: total_T × avg_moment_arm</t>
  </si>
  <si>
    <t>Min Neck Cross-Section (in²)</t>
  </si>
  <si>
    <t>For hardwood at 8000 psi, SF=2</t>
  </si>
  <si>
    <t>Pillar Compression Load (lbs)</t>
  </si>
  <si>
    <t>At ~35° pillar angle</t>
  </si>
  <si>
    <t>Component</t>
  </si>
  <si>
    <t>Dimensions</t>
  </si>
  <si>
    <t>Soundbox — Back Panel</t>
  </si>
  <si>
    <t>3/4" Baltic Birch ply</t>
  </si>
  <si>
    <t>52"×7" (CNC profiled)</t>
  </si>
  <si>
    <t>CNC: inner cavity, string holes, sound holes</t>
  </si>
  <si>
    <t>Soundbox — Soundboard</t>
  </si>
  <si>
    <t>1/4" Sitka Spruce</t>
  </si>
  <si>
    <t>52"×7" (thin face)</t>
  </si>
  <si>
    <t>CNC: string pin holes, 2 sound holes, taper to 3/16" edges</t>
  </si>
  <si>
    <t>Soundbox — Ribs/Sides</t>
  </si>
  <si>
    <t>1/8" steam-bent hardwood</t>
  </si>
  <si>
    <t>52"×3" strips (4 pcs)</t>
  </si>
  <si>
    <t>Kerf-bent on CNC or steam-bent</t>
  </si>
  <si>
    <t>Soundbox — Reinforcing Strip</t>
  </si>
  <si>
    <t>1/4" hardwood</t>
  </si>
  <si>
    <t>50"×1" (inside top)</t>
  </si>
  <si>
    <t>Glued inside soundboard for string pull resistance</t>
  </si>
  <si>
    <t>Pillar (Column)</t>
  </si>
  <si>
    <t>Hardwood turning blank</t>
  </si>
  <si>
    <t>3"×3"×48" (lathe)</t>
  </si>
  <si>
    <t>Lathe-turned, tapered. Mortise joints top/bottom</t>
  </si>
  <si>
    <t>Neck (Harmonic Curve)</t>
  </si>
  <si>
    <t>Laminated hardwood</t>
  </si>
  <si>
    <t>52"×3"×2" (CNC profiled)</t>
  </si>
  <si>
    <t>CNC: string pin holes at calculated spacing, lever slots</t>
  </si>
  <si>
    <t>Neck Reinforcement</t>
  </si>
  <si>
    <t>1/4" steel rod</t>
  </si>
  <si>
    <t>48" (epoxied into channel)</t>
  </si>
  <si>
    <t>CNC channel in neck underside for hidden rod</t>
  </si>
  <si>
    <t>Tuning Pins</t>
  </si>
  <si>
    <t>Zither pins, nickel-plated</t>
  </si>
  <si>
    <t>#4 or #5 (0.219" or 0.234")</t>
  </si>
  <si>
    <t>Tapered pins, hammered into neck</t>
  </si>
  <si>
    <t>Bridge Pins</t>
  </si>
  <si>
    <t>Hardwood or brass</t>
  </si>
  <si>
    <t>1/8" dia × 3/4" long</t>
  </si>
  <si>
    <t>Glued into soundboard, strings loop around</t>
  </si>
  <si>
    <t>Sharping Levers</t>
  </si>
  <si>
    <t>Loveland or Robinson</t>
  </si>
  <si>
    <t>Full set, 34 levers</t>
  </si>
  <si>
    <t>Optional: raises each string one semitone</t>
  </si>
  <si>
    <t>Lever Screws</t>
  </si>
  <si>
    <t>Machine screws</t>
  </si>
  <si>
    <t>#6-32 × 1/2"</t>
  </si>
  <si>
    <t>2 per lever</t>
  </si>
  <si>
    <t>Nylon Strings (treble)</t>
  </si>
  <si>
    <t>Nylon monofilament</t>
  </si>
  <si>
    <t>Gauges .020-.034 (see schedule)</t>
  </si>
  <si>
    <t>Strings 1-24</t>
  </si>
  <si>
    <t>Wound Strings (bass)</t>
  </si>
  <si>
    <t>Nylon core, bronze wrap</t>
  </si>
  <si>
    <t>Custom gauges (see schedule)</t>
  </si>
  <si>
    <t>Strings 25-34, order from string maker</t>
  </si>
  <si>
    <t>String Grommets</t>
  </si>
  <si>
    <t>Nylon or rubber</t>
  </si>
  <si>
    <t>Fits bridge pin holes</t>
  </si>
  <si>
    <t>Protects soundboard holes from string wear</t>
  </si>
  <si>
    <t>Feet / Base</t>
  </si>
  <si>
    <t>Hardwood</t>
  </si>
  <si>
    <t>12"×6"×1" (pair)</t>
  </si>
  <si>
    <t>CNC profiled, rubber pads underneath</t>
  </si>
  <si>
    <t>Wood Glue</t>
  </si>
  <si>
    <t>Titebond III</t>
  </si>
  <si>
    <t>Waterproof for soundbox assembly</t>
  </si>
  <si>
    <t>Finish — Soundbox</t>
  </si>
  <si>
    <t>Shellac or lacquer</t>
  </si>
  <si>
    <t>Thin coats to preserve resonance</t>
  </si>
  <si>
    <t>Finish — Pillar &amp; Neck</t>
  </si>
  <si>
    <t>Tung oil or lacquer</t>
  </si>
  <si>
    <t>Durable finish for handled parts</t>
  </si>
  <si>
    <t>Tuning Wrench</t>
  </si>
  <si>
    <t>Fits #4 or #5 zither pins</t>
  </si>
  <si>
    <t>Star or T-handle</t>
  </si>
  <si>
    <t>Details</t>
  </si>
  <si>
    <t>CAD &amp; DESIGN</t>
  </si>
  <si>
    <t>Model neck curve in CAD</t>
  </si>
  <si>
    <t>Import string schedule vibrating lengths → plot harmonic curve → export DXF for CNC</t>
  </si>
  <si>
    <t>Design soundbox cross-section</t>
  </si>
  <si>
    <t>Tapered cavity: 3" deep at bass end, 1.5" at treble. Width 6-7". Match neck curve.</t>
  </si>
  <si>
    <t>Calculate string pin spacing</t>
  </si>
  <si>
    <t>~0.44" center-to-center (uniform or graduated). Mark on neck and soundboard templates.</t>
  </si>
  <si>
    <t>Generate CNC toolpaths</t>
  </si>
  <si>
    <t>Soundbox cavity, soundboard taper, neck profile, string holes, sound holes, feet</t>
  </si>
  <si>
    <t>CNC SOUNDBOX</t>
  </si>
  <si>
    <t>CNC back panel cavity</t>
  </si>
  <si>
    <t>3/4" Baltic birch. Pocket-clear interior to ~1/2" wall. Leave string hole bosses.</t>
  </si>
  <si>
    <t>CNC string holes in back</t>
  </si>
  <si>
    <t>34 holes, 3/16" dia, spaced per string schedule. Drill from inside.</t>
  </si>
  <si>
    <t>CNC sound holes</t>
  </si>
  <si>
    <t>Two 2.5" diameter holes on soundboard face. Decorative rosette optional.</t>
  </si>
  <si>
    <t>Shape soundbox exterior</t>
  </si>
  <si>
    <t>Profile top/bottom curves on CNC or bandsaw. Sand to final shape.</t>
  </si>
  <si>
    <t>Glue ribs to back panel</t>
  </si>
  <si>
    <t>Kerf-bent or steam-bent sides. Clamp with cauls. Let cure 24hr.</t>
  </si>
  <si>
    <t>Fit reinforcing strip</t>
  </si>
  <si>
    <t>Glue 1/4"×1" hardwood strip inside top edge where strings pull.</t>
  </si>
  <si>
    <t>Glue soundboard to ribs</t>
  </si>
  <si>
    <t>Align string holes, clamp evenly. Critical: no gaps, even pressure.</t>
  </si>
  <si>
    <t>LATHE PILLAR</t>
  </si>
  <si>
    <t>Rough-turn pillar blank</t>
  </si>
  <si>
    <t>3"×3"×48" hardwood. Turn to ~2.5" cylinder, leaving mortise tenons.</t>
  </si>
  <si>
    <t>Taper pillar</t>
  </si>
  <si>
    <t>2.5" at base tapering to 1.75" at top. Decorative rings optional.</t>
  </si>
  <si>
    <t>Cut mortise tenons</t>
  </si>
  <si>
    <t>Square tenons at top (into neck) and bottom (into soundbox foot). Dry-fit.</t>
  </si>
  <si>
    <t>Sand &amp; finish pillar</t>
  </si>
  <si>
    <t>Progressive sand to 400 grit. Apply tung oil or lacquer.</t>
  </si>
  <si>
    <t>CNC NECK</t>
  </si>
  <si>
    <t>Laminate neck blank</t>
  </si>
  <si>
    <t>Glue 3-4 layers of 1/2" hardwood for strength. Clamp flat. Cure 24hr.</t>
  </si>
  <si>
    <t>CNC neck profile (top)</t>
  </si>
  <si>
    <t>Harmonic curve from CAD. Include lever mounting flats.</t>
  </si>
  <si>
    <t>CNC neck profile (bottom)</t>
  </si>
  <si>
    <t>String pin holes at calculated spacing. Channel for steel rod reinforcement.</t>
  </si>
  <si>
    <t>Drill tuning pin holes</t>
  </si>
  <si>
    <t>Tapered reamer or stepped drill. Holes angled ~5° toward soundbox for string break angle.</t>
  </si>
  <si>
    <t>Epoxy steel reinforcement rod</t>
  </si>
  <si>
    <t>1/4" rod in CNC channel on neck underside. Prevents neck flex under load.</t>
  </si>
  <si>
    <t>ASSEMBLY</t>
  </si>
  <si>
    <t>Dry-fit all three components</t>
  </si>
  <si>
    <t>Pillar into soundbox foot, neck onto pillar top and soundbox head. Check angles.</t>
  </si>
  <si>
    <t>Glue pillar to soundbox</t>
  </si>
  <si>
    <t>Mortise joint + epoxy + mechanical pin. This joint bears full string load.</t>
  </si>
  <si>
    <t>Glue neck to pillar &amp; soundbox</t>
  </si>
  <si>
    <t>Both joints: mortise + epoxy + bolt. Critical structural joints.</t>
  </si>
  <si>
    <t>Install bridge pins</t>
  </si>
  <si>
    <t>Glue 34 pins into soundboard holes. Let cure before stringing.</t>
  </si>
  <si>
    <t>Install tuning pins</t>
  </si>
  <si>
    <t>Hammer zither pins into neck holes. Firm fit but turnable with wrench.</t>
  </si>
  <si>
    <t>STRINGING &amp; TUNING</t>
  </si>
  <si>
    <t>String bass octave first (C2-B2)</t>
  </si>
  <si>
    <t>Wound strings. Tie to bridge pin, wrap around tuning pin. Bring to ~half tension.</t>
  </si>
  <si>
    <t>String middle octaves (C3-B4)</t>
  </si>
  <si>
    <t>Continue from bass to treble. Half tension on each.</t>
  </si>
  <si>
    <t>String treble octave (C5-A6)</t>
  </si>
  <si>
    <t>Thin nylon. Careful with thin strings — they break easily if over-tightened.</t>
  </si>
  <si>
    <t>Bring all strings to pitch gradually</t>
  </si>
  <si>
    <t>Multiple passes: 50% → 75% → 90% → 100%. Let settle 48hr between passes.</t>
  </si>
  <si>
    <t>Install sharping levers</t>
  </si>
  <si>
    <t>Loveland or Robinson levers. Align to string, adjust for clean semitone.</t>
  </si>
  <si>
    <t>Fine-tune with tuner</t>
  </si>
  <si>
    <t>Use chromatic tuner. Start from middle C, work outward. Re-tune daily for 2 weeks.</t>
  </si>
  <si>
    <t>Final setup &amp; inspection</t>
  </si>
  <si>
    <t>Check all joints for stress cracks. Verify lever action. Apply touch-up finish.</t>
  </si>
  <si>
    <t>Xylophone — CNC Bar Design Table</t>
  </si>
  <si>
    <t>Free-Free Beam (no arch) · f = K × t / L² · 3rd Harmonic Tuning · λ₁ = 4.730</t>
  </si>
  <si>
    <t>← Match to Marimba material library</t>
  </si>
  <si>
    <t>K Constant (free-free)</t>
  </si>
  <si>
    <t>← From Marimba sheet or = 6.36 × Tongue Drum K</t>
  </si>
  <si>
    <t>← 3/4" concert, 5/8" student</t>
  </si>
  <si>
    <t>Resonator Bore (in)</t>
  </si>
  <si>
    <t>← PVC Schedule 20 ID</t>
  </si>
  <si>
    <t>BAR SCHEDULE — 44 Chromatic Bars (F4–C8)</t>
  </si>
  <si>
    <t>Bar Width (in)</t>
  </si>
  <si>
    <t>Res. Tube (in)</t>
  </si>
  <si>
    <t>Res. Tube (mm)</t>
  </si>
  <si>
    <t>C#7</t>
  </si>
  <si>
    <t>D#7</t>
  </si>
  <si>
    <t>E7</t>
  </si>
  <si>
    <t>F7</t>
  </si>
  <si>
    <t>F#7</t>
  </si>
  <si>
    <t>G7</t>
  </si>
  <si>
    <t>G#7</t>
  </si>
  <si>
    <t>A7</t>
  </si>
  <si>
    <t>A#7</t>
  </si>
  <si>
    <t>B7</t>
  </si>
  <si>
    <t>C8</t>
  </si>
  <si>
    <t>Concert (3.5 oct)</t>
  </si>
  <si>
    <t>Student (2.5 oct)</t>
  </si>
  <si>
    <t>F4–C8 (44 bars)</t>
  </si>
  <si>
    <t>F4–C7 (32 bars)</t>
  </si>
  <si>
    <t>Bar Material</t>
  </si>
  <si>
    <t>Rosewood / Padauk</t>
  </si>
  <si>
    <t>Padauk / Hard Maple</t>
  </si>
  <si>
    <t>3/4" (0.750")</t>
  </si>
  <si>
    <t>5/8" (0.625")</t>
  </si>
  <si>
    <t>Bar Width Range</t>
  </si>
  <si>
    <t>1.0"–1.5"</t>
  </si>
  <si>
    <t>1.0"–1.375"</t>
  </si>
  <si>
    <t>Resonator Material</t>
  </si>
  <si>
    <t>1-1/4" PVC Sch 20</t>
  </si>
  <si>
    <t>1" PVC Sch 20</t>
  </si>
  <si>
    <t>37 tubes (F4–C7)</t>
  </si>
  <si>
    <t>32 tubes (all)</t>
  </si>
  <si>
    <t>Frame Size</t>
  </si>
  <si>
    <t>48" × 24" × 30"h</t>
  </si>
  <si>
    <t>36" × 20" × 28"h</t>
  </si>
  <si>
    <t>Rail Material</t>
  </si>
  <si>
    <t>Maple or aluminum</t>
  </si>
  <si>
    <t>Pine or maple</t>
  </si>
  <si>
    <t>String Material</t>
  </si>
  <si>
    <t>Paracord through nodes</t>
  </si>
  <si>
    <t>Mallets</t>
  </si>
  <si>
    <t>Hard rubber / plastic</t>
  </si>
  <si>
    <t>Hard rubber</t>
  </si>
  <si>
    <t>CNC Operations</t>
  </si>
  <si>
    <t>Bars only (no arch)</t>
  </si>
  <si>
    <t>Bars only</t>
  </si>
  <si>
    <t>Total Weight (est.)</t>
  </si>
  <si>
    <t>~35 lbs</t>
  </si>
  <si>
    <t>~20 lbs</t>
  </si>
  <si>
    <t>HARP SIZE VARIANTS — Quick Reference</t>
  </si>
  <si>
    <t>Lap Harp</t>
  </si>
  <si>
    <t>Therapy Harp</t>
  </si>
  <si>
    <t>Small Floor</t>
  </si>
  <si>
    <t>Full Floor (above)</t>
  </si>
  <si>
    <t>C4–A6 (2.5 oct)</t>
  </si>
  <si>
    <t>G2–A5 (3 oct)</t>
  </si>
  <si>
    <t>C2–A5 (3.5 oct)</t>
  </si>
  <si>
    <t>C2–A6 (5 oct)</t>
  </si>
  <si>
    <t>Height</t>
  </si>
  <si>
    <t>~24" (61cm)</t>
  </si>
  <si>
    <t>~34" (86cm)</t>
  </si>
  <si>
    <t>~44" (112cm)</t>
  </si>
  <si>
    <t>~52" (132cm)</t>
  </si>
  <si>
    <t>Longest String</t>
  </si>
  <si>
    <t>~24"</t>
  </si>
  <si>
    <t>~36"</t>
  </si>
  <si>
    <t>~45"</t>
  </si>
  <si>
    <t>~49"</t>
  </si>
  <si>
    <t>Shortest String</t>
  </si>
  <si>
    <t>~4"</t>
  </si>
  <si>
    <t>~5"</t>
  </si>
  <si>
    <t>Total String Load</t>
  </si>
  <si>
    <t>~180 lbs</t>
  </si>
  <si>
    <t>~300 lbs</t>
  </si>
  <si>
    <t>~400 lbs</t>
  </si>
  <si>
    <t>~442 lbs</t>
  </si>
  <si>
    <t>Nylon Mono Strings</t>
  </si>
  <si>
    <t>All 19</t>
  </si>
  <si>
    <t>Strings 1–20</t>
  </si>
  <si>
    <t>Strings 1–24</t>
  </si>
  <si>
    <t>Wound Strings</t>
  </si>
  <si>
    <t>None</t>
  </si>
  <si>
    <t>Strings 21–26</t>
  </si>
  <si>
    <t>Strings 25–32</t>
  </si>
  <si>
    <t>Optional (19)</t>
  </si>
  <si>
    <t>Recommended (26)</t>
  </si>
  <si>
    <t>Yes (32)</t>
  </si>
  <si>
    <t>Yes (34)</t>
  </si>
  <si>
    <t>None — open frame</t>
  </si>
  <si>
    <t>Lathe-turned, 1.75" Ø</t>
  </si>
  <si>
    <t>Lathe-turned, 2" Ø</t>
  </si>
  <si>
    <t>Lathe-turned, 2.5" Ø</t>
  </si>
  <si>
    <t>Soundbox Width</t>
  </si>
  <si>
    <t>5"</t>
  </si>
  <si>
    <t>6"</t>
  </si>
  <si>
    <t>7"</t>
  </si>
  <si>
    <t>8"</t>
  </si>
  <si>
    <t>Soundbox Depth</t>
  </si>
  <si>
    <t>3"</t>
  </si>
  <si>
    <t>3.5"</t>
  </si>
  <si>
    <t>4"</t>
  </si>
  <si>
    <t>4.5"</t>
  </si>
  <si>
    <t>Soundboard Thickness</t>
  </si>
  <si>
    <t>3/16"</t>
  </si>
  <si>
    <t>1/4"</t>
  </si>
  <si>
    <t>5/16"</t>
  </si>
  <si>
    <t>3/8"</t>
  </si>
  <si>
    <t>Neck Steel Rod</t>
  </si>
  <si>
    <t>3/8" × 30"</t>
  </si>
  <si>
    <t>1/2" × 38"</t>
  </si>
  <si>
    <t>1/2" × 48"</t>
  </si>
  <si>
    <t>CNC Soundbox</t>
  </si>
  <si>
    <t>Single piece</t>
  </si>
  <si>
    <t>2-piece glue-up</t>
  </si>
  <si>
    <t>3-piece glue-up</t>
  </si>
  <si>
    <t>Portability</t>
  </si>
  <si>
    <t>★★★★★ Carry bag</t>
  </si>
  <si>
    <t>★★★★ Carry case</t>
  </si>
  <si>
    <t>★★★ Stand included</t>
  </si>
  <si>
    <t>★★ Heavy, stand req'd</t>
  </si>
  <si>
    <t>Build Difficulty</t>
  </si>
  <si>
    <t>★★ Beginner</t>
  </si>
  <si>
    <t>★★★ Intermediate</t>
  </si>
  <si>
    <t>★★★★ Advanced</t>
  </si>
  <si>
    <t>★★★★★ Expert</t>
  </si>
  <si>
    <t>Estimated Cost</t>
  </si>
  <si>
    <t>$150–250</t>
  </si>
  <si>
    <t>$250–400</t>
  </si>
  <si>
    <t>$400–600</t>
  </si>
  <si>
    <t>$600–900</t>
  </si>
  <si>
    <t>Maker Nexus Kit?</t>
  </si>
  <si>
    <t>★★★★★ Ideal kit!</t>
  </si>
  <si>
    <t>★★★★ Good kit</t>
  </si>
  <si>
    <t>★★★ Possible</t>
  </si>
  <si>
    <t>★★ Solo project</t>
  </si>
  <si>
    <t>LAP HARP — 19-String Schedule (C4–A6)</t>
  </si>
  <si>
    <t>Vib Length (in)</t>
  </si>
  <si>
    <t>Gauge (mils)</t>
  </si>
  <si>
    <t>Type</t>
  </si>
  <si>
    <t>TOTAL</t>
  </si>
  <si>
    <t>Whamola Bass — CNC Build Document</t>
  </si>
  <si>
    <t>Single-string lever bass · Mersenne-Taylor physics · Funk/experimental</t>
  </si>
  <si>
    <t>Scale Length (in)</t>
  </si>
  <si>
    <t>← 32" = long scale bass</t>
  </si>
  <si>
    <t>Open String Note</t>
  </si>
  <si>
    <t>E1</t>
  </si>
  <si>
    <t>← Low E (41.2 Hz). Bass D=36.7 Hz also common.</t>
  </si>
  <si>
    <t>String Gauge (in)</t>
  </si>
  <si>
    <t>← .050 standard bass, .065 for deeper tone</t>
  </si>
  <si>
    <t>Neck Wood</t>
  </si>
  <si>
    <t>Fingerboard Wood</t>
  </si>
  <si>
    <t>Lever Arm Length (in)</t>
  </si>
  <si>
    <t>← 18" gives ~1 octave of pitch bend</t>
  </si>
  <si>
    <t>STRING PHYSICS</t>
  </si>
  <si>
    <t>Open Frequency (Hz)</t>
  </si>
  <si>
    <t>String Linear Density (lb/in)</t>
  </si>
  <si>
    <t>← μ = ρ_nylon × π × (d/2)²</t>
  </si>
  <si>
    <t>String Tension (lbs)</t>
  </si>
  <si>
    <t>← T = μ × (2Lf)² / g</t>
  </si>
  <si>
    <t>% Breaking Strength</t>
  </si>
  <si>
    <t>Lever Pitch Range</t>
  </si>
  <si>
    <t>~1 octave (E1→E2)</t>
  </si>
  <si>
    <t>← Full lever pull ≈ doubles tension</t>
  </si>
  <si>
    <t>Material / Spec</t>
  </si>
  <si>
    <t>Source / Notes</t>
  </si>
  <si>
    <t>Neck / spine beam</t>
  </si>
  <si>
    <t>Hard maple 8/4</t>
  </si>
  <si>
    <t>60" × 1.5" × 1.5"</t>
  </si>
  <si>
    <t>CNC joint faces, hand-shape profile</t>
  </si>
  <si>
    <t>Wenge or ebony</t>
  </si>
  <si>
    <t>34" × 1.5" × 0.25"</t>
  </si>
  <si>
    <t>CNC radius (12" R), glue to neck</t>
  </si>
  <si>
    <t>Lever arm</t>
  </si>
  <si>
    <t>Hardwood or aluminum</t>
  </si>
  <si>
    <t>18" × 1" × 0.75"</t>
  </si>
  <si>
    <t>CNC taper, pivot hole at one end</t>
  </si>
  <si>
    <t>Pivot axle</t>
  </si>
  <si>
    <t>1/4-20 bolt + locknut</t>
  </si>
  <si>
    <t>6" long</t>
  </si>
  <si>
    <t>Axis of rotation for lever</t>
  </si>
  <si>
    <t>String roller / pulley</t>
  </si>
  <si>
    <t>Screen door roller or brass</t>
  </si>
  <si>
    <t>1" dia</t>
  </si>
  <si>
    <t>At lever tip, string wraps over this</t>
  </si>
  <si>
    <t>Hardwood or bone</t>
  </si>
  <si>
    <t>2" × 0.75" × 0.5"</t>
  </si>
  <si>
    <t>CNC notch for string, screw to base</t>
  </si>
  <si>
    <t>Base / foot plate</t>
  </si>
  <si>
    <t>Hardwood or plywood</t>
  </si>
  <si>
    <t>12" × 8" × 0.75"</t>
  </si>
  <si>
    <t>CNC shaped, anti-tip weighted</t>
  </si>
  <si>
    <t>Pickup</t>
  </si>
  <si>
    <t>P-Bass single coil</t>
  </si>
  <si>
    <t>Standard size</t>
  </si>
  <si>
    <t>CB Gitty ~$7, mount near bridge</t>
  </si>
  <si>
    <t>Output jack (1/4")</t>
  </si>
  <si>
    <t>Mono, open circuit</t>
  </si>
  <si>
    <t>Mount in base or neck side</t>
  </si>
  <si>
    <t>Volume pot + tone pot</t>
  </si>
  <si>
    <t>500K audio taper + 250K</t>
  </si>
  <si>
    <t>Pre-wired harness ~$24</t>
  </si>
  <si>
    <t>Bass tuning peg</t>
  </si>
  <si>
    <t>Standard bass machine head</t>
  </si>
  <si>
    <t>Single</t>
  </si>
  <si>
    <t>CB Gitty ~$6, mount at neck top</t>
  </si>
  <si>
    <t>Bass string</t>
  </si>
  <si>
    <t>.050" gauge, long scale</t>
  </si>
  <si>
    <t>38"+ winding</t>
  </si>
  <si>
    <t>D'Addario XL or similar</t>
  </si>
  <si>
    <t>Bone or TUSQ</t>
  </si>
  <si>
    <t>Single-slot</t>
  </si>
  <si>
    <t>CNC or hand-file slot</t>
  </si>
  <si>
    <t>Stand bracket</t>
  </si>
  <si>
    <t>Steel L-bracket</t>
  </si>
  <si>
    <t>3" × 3"</t>
  </si>
  <si>
    <t>Attach base to neck at 80° angle</t>
  </si>
  <si>
    <t>Wood screws, assorted</t>
  </si>
  <si>
    <t>Stainless #8, #10</t>
  </si>
  <si>
    <t>Various</t>
  </si>
  <si>
    <t>For bridge, brackets, pickup ring</t>
  </si>
  <si>
    <t>Shielding tape / paint</t>
  </si>
  <si>
    <t>Copper foil</t>
  </si>
  <si>
    <t>6" × 12"</t>
  </si>
  <si>
    <t>Pickup cavity EMI shielding</t>
  </si>
  <si>
    <t>Tru-Oil or Tung Oil</t>
  </si>
  <si>
    <t>4 oz</t>
  </si>
  <si>
    <t>3-5 coats, sand between</t>
  </si>
  <si>
    <t>Drumstick (mallet)</t>
  </si>
  <si>
    <t>5A or 5B hickory</t>
  </si>
  <si>
    <t>For striking the string</t>
  </si>
  <si>
    <t>F1</t>
  </si>
  <si>
    <t>G1</t>
  </si>
  <si>
    <t>A1</t>
  </si>
  <si>
    <t>B1</t>
  </si>
  <si>
    <t>C2</t>
  </si>
  <si>
    <t>D2</t>
  </si>
  <si>
    <t>E2</t>
  </si>
  <si>
    <t>Note → MIDI Lookup</t>
  </si>
  <si>
    <t>Mill neck blank to dimension</t>
  </si>
  <si>
    <t>CNC face all 4 sides to 1.5" × 1.5" × 60". Leave 0.010" for sanding.</t>
  </si>
  <si>
    <t>CNC fingerboard channel</t>
  </si>
  <si>
    <t>Route 0.25" deep × 1.5" wide channel on one face, 34" long from nut position.</t>
  </si>
  <si>
    <t>CNC pickup cavity</t>
  </si>
  <si>
    <t>P-Bass pickup rout in neck face, 2" from bridge end. Include wire channel to jack.</t>
  </si>
  <si>
    <t>CNC lever pivot block</t>
  </si>
  <si>
    <t>Route pocket at neck top for pivot bolt. Drill 1/4" through-hole perpendicular to neck.</t>
  </si>
  <si>
    <t>CNC base plate</t>
  </si>
  <si>
    <t>Shape 12" × 8" foot from 3/4" hardwood. Anti-tip profile. Drill mounting holes for neck brackets.</t>
  </si>
  <si>
    <t>CNC bridge</t>
  </si>
  <si>
    <t>Shape from hardwood: 2" × 0.75" × 0.5". V-notch for string on top. Screw holes on sides.</t>
  </si>
  <si>
    <t>CNC lever arm</t>
  </si>
  <si>
    <t>Taper from 1" at pivot to 0.75" at tip. Drill pivot hole + roller axle hole at tip.</t>
  </si>
  <si>
    <t>CNC fingerboard radius</t>
  </si>
  <si>
    <t>12" compound radius on wenge blank. Glue to neck channel with Titebond III.</t>
  </si>
  <si>
    <t>Sand &amp; profile neck</t>
  </si>
  <si>
    <t>Round over neck back to comfortable D-profile. 80→150→220 grit.</t>
  </si>
  <si>
    <t>Install bridge</t>
  </si>
  <si>
    <t>Position bridge 32" from nut. Screw to neck through pre-drilled holes. Check alignment.</t>
  </si>
  <si>
    <t>Install pickup</t>
  </si>
  <si>
    <t>Set pickup in routed cavity. Wire to volume/tone pots and 1/4" jack. Shield cavity.</t>
  </si>
  <si>
    <t>Install tuning peg</t>
  </si>
  <si>
    <t>Mount bass machine head at neck top. String path: peg → nut → fingerboard → bridge → over roller.</t>
  </si>
  <si>
    <t>Assemble lever mechanism</t>
  </si>
  <si>
    <t>Insert 1/4-20 bolt through pivot. Mount roller at lever tip. String runs over roller to tuning peg.</t>
  </si>
  <si>
    <t>Attach base to neck</t>
  </si>
  <si>
    <t>L-brackets at ~80° angle. Neck leans back slightly for playing position. Test stability.</t>
  </si>
  <si>
    <t>Apply finish</t>
  </si>
  <si>
    <t>3-5 coats Tru-Oil on all wood surfaces. Sand 400 grit between coats. Final buff with 0000 steel wool.</t>
  </si>
  <si>
    <t>String up &amp; tune</t>
  </si>
  <si>
    <t>Thread .050 bass string: tuning peg → nut → over fingerboard → bridge → over lever roller. Tune to E1.</t>
  </si>
  <si>
    <t>Set action &amp; intonation</t>
  </si>
  <si>
    <t>Adjust nut slot depth for ~3/32" action at 12th fret position. Check intonation with tuner.</t>
  </si>
  <si>
    <t>Test lever range</t>
  </si>
  <si>
    <t>Full lever pull should raise pitch ~1 octave. Adjust lever length if range is too narrow/wide.</t>
  </si>
  <si>
    <t>Plug in &amp; play!</t>
  </si>
  <si>
    <t>Connect to bass amp. Strike string with drumstick. Pull lever for whammy bends. FUNK.</t>
  </si>
  <si>
    <t>CNC Ukulele — Build Document</t>
  </si>
  <si>
    <t>Soprano/Concert/Tenor · CNC body halves + neck · Traditional GCEA tuning</t>
  </si>
  <si>
    <t>Size</t>
  </si>
  <si>
    <t>Concert</t>
  </si>
  <si>
    <t>← Soprano (21"), Concert (23"), Tenor (26")</t>
  </si>
  <si>
    <t>← Soprano 13", Concert 15", Tenor 17"</t>
  </si>
  <si>
    <t>Body Wood (top)</t>
  </si>
  <si>
    <t>Sitka Spruce</t>
  </si>
  <si>
    <t>Body Wood (back/sides)</t>
  </si>
  <si>
    <t>Ebony or Rosewood</t>
  </si>
  <si>
    <t>Tuning</t>
  </si>
  <si>
    <t>GCEA (standard re-entrant)</t>
  </si>
  <si>
    <t>SIZE COMPARISON</t>
  </si>
  <si>
    <t>Soprano</t>
  </si>
  <si>
    <t>Tenor</t>
  </si>
  <si>
    <t>Total Length</t>
  </si>
  <si>
    <t>21"</t>
  </si>
  <si>
    <t>23"</t>
  </si>
  <si>
    <t>26"</t>
  </si>
  <si>
    <t>Scale Length</t>
  </si>
  <si>
    <t>13"</t>
  </si>
  <si>
    <t>15"</t>
  </si>
  <si>
    <t>17"</t>
  </si>
  <si>
    <t>Body Length</t>
  </si>
  <si>
    <t>9.5"</t>
  </si>
  <si>
    <t>10.5"</t>
  </si>
  <si>
    <t>11.5"</t>
  </si>
  <si>
    <t>Body Width</t>
  </si>
  <si>
    <t>Body Depth</t>
  </si>
  <si>
    <t>2.25"</t>
  </si>
  <si>
    <t>2.5"</t>
  </si>
  <si>
    <t>2.75"</t>
  </si>
  <si>
    <t>Nut Width</t>
  </si>
  <si>
    <t>1.375"</t>
  </si>
  <si>
    <t>1.4375"</t>
  </si>
  <si>
    <t>1.5"</t>
  </si>
  <si>
    <t>Frets</t>
  </si>
  <si>
    <t>15-18</t>
  </si>
  <si>
    <t>18-20</t>
  </si>
  <si>
    <t>GCEA</t>
  </si>
  <si>
    <t>GCEA or gCEA</t>
  </si>
  <si>
    <t>Soundboard (top)</t>
  </si>
  <si>
    <t>Spruce or Cedar 1/8"</t>
  </si>
  <si>
    <t>12" × 8" × 0.125"</t>
  </si>
  <si>
    <t>CNC bracing pattern on underside</t>
  </si>
  <si>
    <t>Back plate</t>
  </si>
  <si>
    <t>Mahogany 1/8"</t>
  </si>
  <si>
    <t>CNC slight arch (2" radius)</t>
  </si>
  <si>
    <t>Side walls (ribs)</t>
  </si>
  <si>
    <t>Mahogany 1/16" (bent)</t>
  </si>
  <si>
    <t>30" × 2.5" × 0.065"</t>
  </si>
  <si>
    <t>Steam-bend or CNC kerfed lining</t>
  </si>
  <si>
    <t>Kerfed lining</t>
  </si>
  <si>
    <t>Basswood or mahogany</t>
  </si>
  <si>
    <t>0.375" × 0.75" strips</t>
  </si>
  <si>
    <t>CNC kerf cuts. Glue inside top/back edges</t>
  </si>
  <si>
    <t>Neck blank</t>
  </si>
  <si>
    <t>Mahogany 8/4</t>
  </si>
  <si>
    <t>12" × 2.5" × 1.5"</t>
  </si>
  <si>
    <t>CNC headstock + neck profile</t>
  </si>
  <si>
    <t>Ebony or rosewood</t>
  </si>
  <si>
    <t>10" × 1.5" × 0.25"</t>
  </si>
  <si>
    <t>CNC radius (14" R), fret slots</t>
  </si>
  <si>
    <t>Fret wire</t>
  </si>
  <si>
    <t>Medium (0.090" wide)</t>
  </si>
  <si>
    <t>2 ft</t>
  </si>
  <si>
    <t>Cut to length, press into slots</t>
  </si>
  <si>
    <t>2.5" × 0.4" × 0.35"</t>
  </si>
  <si>
    <t>CNC shaped, 4 string slots + saddle</t>
  </si>
  <si>
    <t>Saddle</t>
  </si>
  <si>
    <t>2.5" × 0.12" × 0.3"</t>
  </si>
  <si>
    <t>Set intonation compensation</t>
  </si>
  <si>
    <t>1.5" × 0.12" × 0.25"</t>
  </si>
  <si>
    <t>4 slots, filed to gauge</t>
  </si>
  <si>
    <t>Friction or geared (4:1)</t>
  </si>
  <si>
    <t>Standard uke</t>
  </si>
  <si>
    <t>Gotoh UPT or Grover friction</t>
  </si>
  <si>
    <t>Fluorocarbon GCEA</t>
  </si>
  <si>
    <t>Concert set</t>
  </si>
  <si>
    <t>Worth or D'Addario Pro-Arté</t>
  </si>
  <si>
    <t>Sound hole rosette</t>
  </si>
  <si>
    <t>Laser-cut wood or abalone ring</t>
  </si>
  <si>
    <t>2" ID ring</t>
  </si>
  <si>
    <t>Decorative, glued before assembly</t>
  </si>
  <si>
    <t>Binding (optional)</t>
  </si>
  <si>
    <t>ABS or wood strip</t>
  </si>
  <si>
    <t>0.060" × 0.25"</t>
  </si>
  <si>
    <t>CNC binding channel in top/back edges</t>
  </si>
  <si>
    <t>Nitrocellulose lacquer or French polish</t>
  </si>
  <si>
    <t>Spray can or shellac</t>
  </si>
  <si>
    <t>6-8 coats, wet-sand 600/800/1000, buff</t>
  </si>
  <si>
    <t>CAD: Design body outline</t>
  </si>
  <si>
    <t>Draw figure-8 body profile in SolidWorks/Fusion. Export DXF for CNC. Include sound hole, bridge location.</t>
  </si>
  <si>
    <t>CNC: Cut soundboard bracing</t>
  </si>
  <si>
    <t>Fan bracing or ladder bracing on spruce top underside. 1/16" end mill, 0.05" depth. 3 braces typical.</t>
  </si>
  <si>
    <t>CNC: Sound hole + rosette</t>
  </si>
  <si>
    <t>Cut 2" sound hole in top. Route rosette channel (0.04" deep) if using inlay ring.</t>
  </si>
  <si>
    <t>CNC: Cut top &amp; back outlines</t>
  </si>
  <si>
    <t>Cut top and back plates to body outline + 1/16" oversize for trimming. Tabs to hold in place.</t>
  </si>
  <si>
    <t>CNC: Kerf lining strips</t>
  </si>
  <si>
    <t>Cut kerf slots every 0.25" along lining strips. Leave 0.02" uncut for flexibility. 4 strips.</t>
  </si>
  <si>
    <t>Bend sides</t>
  </si>
  <si>
    <t>Soak mahogany sides 30 min, bend on hot pipe or CNC-kerfed bending form. Clamp to mold. Dry 24h.</t>
  </si>
  <si>
    <t>Glue kerfed lining to sides</t>
  </si>
  <si>
    <t>Titebond III, clothespin clamps every 1". Top lining and back lining. Let cure 4h.</t>
  </si>
  <si>
    <t>CNC: Neck blank</t>
  </si>
  <si>
    <t>Rough CNC headstock shape from 8/4 mahogany. Leave neck profile for hand shaping.</t>
  </si>
  <si>
    <t>CNC: Headstock tuner holes</t>
  </si>
  <si>
    <t>Drill 4 tuner holes (10mm for geared, 6mm for friction pegs). Slotted or solid headstock per design.</t>
  </si>
  <si>
    <t>CNC: Neck tenon / dovetail</t>
  </si>
  <si>
    <t>Cut Spanish heel or dovetail joint where neck meets body. CRITICAL FIT — test-fit before gluing.</t>
  </si>
  <si>
    <t>CNC: Fingerboard</t>
  </si>
  <si>
    <t>Surface to 0.25", cut fret slots (0.023" kerf saw or 1/32" end mill), radius top face (14" R).</t>
  </si>
  <si>
    <t>Install frets</t>
  </si>
  <si>
    <t>Cut fret wire to length, press into slots with arbor press or fret hammer. Level &amp; crown after install.</t>
  </si>
  <si>
    <t>Glue top to sides</t>
  </si>
  <si>
    <t>Align soundboard on side assembly. Clamp to kerfed lining. Check sound hole centered. Titebond III, 4h.</t>
  </si>
  <si>
    <t>Glue neck to body</t>
  </si>
  <si>
    <t>Fit neck joint. Align centerline with bridge position. Glue and clamp. This sets the action — measure twice.</t>
  </si>
  <si>
    <t>Glue back to sides</t>
  </si>
  <si>
    <t>Last piece of the box. Align, glue, clamp. Body is now fully enclosed.</t>
  </si>
  <si>
    <t>Trim flush &amp; bind</t>
  </si>
  <si>
    <t>Flush-trim top/back overhangs. Route binding channel if using binding. Glue binding strips.</t>
  </si>
  <si>
    <t>Align to centerline. Fingerboard extends over body. Titebond, caul clamp, 4h cure.</t>
  </si>
  <si>
    <t>Shape neck profile</t>
  </si>
  <si>
    <t>Hand-shape D or C profile on neck back. Rasp → 80 → 150 → 220 grit. Test feel frequently.</t>
  </si>
  <si>
    <t>Sand entire instrument</t>
  </si>
  <si>
    <t>220 → 320 → 400 grit. Remove all tool marks. Raise grain with damp cloth, re-sand 400.</t>
  </si>
  <si>
    <t>6-8 thin coats lacquer (spray) or French polish (shellac pad). Sand 600 between coats. Final buff.</t>
  </si>
  <si>
    <t>Install hardware</t>
  </si>
  <si>
    <t>Tuners, nut (filed to string gauges), bridge (glue or screw), saddle. Check string spacing.</t>
  </si>
  <si>
    <t>String up, set action, play!</t>
  </si>
  <si>
    <t>GCEA strings. Set action: 2.5mm at 12th fret (1st string), 3mm (4th string). Intonate at saddle.</t>
  </si>
  <si>
    <t>CNC Acoustic Violin — Build Document</t>
  </si>
  <si>
    <t>4/4 Full-Size · CNC arched top/back · Traditional 4-string GDAE</t>
  </si>
  <si>
    <t>4/4 (full)</t>
  </si>
  <si>
    <t>← 4/4, 3/4, 1/2, 1/4 available</t>
  </si>
  <si>
    <t>← 4/4 = 14", 3/4 = 13.2", 1/2 = 12.5"</t>
  </si>
  <si>
    <t>String Length (stop)</t>
  </si>
  <si>
    <t>← Nut to bridge (325mm for 4/4)</t>
  </si>
  <si>
    <t>Top Wood</t>
  </si>
  <si>
    <t>Spruce (European or Sitka)</t>
  </si>
  <si>
    <t>Back/Sides Wood</t>
  </si>
  <si>
    <t>Hard Maple (curly preferred)</t>
  </si>
  <si>
    <t>Ebony</t>
  </si>
  <si>
    <t>Arch Height (top)</t>
  </si>
  <si>
    <t>← 15mm standard. CNC 3D surfacing.</t>
  </si>
  <si>
    <t>Arch Height (back)</t>
  </si>
  <si>
    <t>← 14mm standard</t>
  </si>
  <si>
    <t>⚠️ CNC NOTE</t>
  </si>
  <si>
    <t>The arched top and back require 3D ball-nose surfacing passes. This is the most demanding CNC</t>
  </si>
  <si>
    <t>operation in this workbook. Use a 3/8" ball-end mill with 0.010" stepover for final pass.</t>
  </si>
  <si>
    <t>Top plate (belly)</t>
  </si>
  <si>
    <t>Spruce, quartersawn, bookmatched</t>
  </si>
  <si>
    <t>16" × 8" × 0.75" (before arching)</t>
  </si>
  <si>
    <t>CNC 3D arch outside, then graduate inside to 2.5-3mm</t>
  </si>
  <si>
    <t>Maple, quartersawn, bookmatched</t>
  </si>
  <si>
    <t>CNC 3D arch outside, graduate inside. Two-piece join.</t>
  </si>
  <si>
    <t>Ribs (sides)</t>
  </si>
  <si>
    <t>Maple, 1.2mm thick</t>
  </si>
  <si>
    <t>12" × 1.25" × 0.047"</t>
  </si>
  <si>
    <t>Steam-bent on mold. C-bout, upper bout, lower bout × 2</t>
  </si>
  <si>
    <t>Neck + scroll</t>
  </si>
  <si>
    <t>12" × 2.5" × 2.5"</t>
  </si>
  <si>
    <t>CNC rough scroll + pegbox, hand-finish volute carving</t>
  </si>
  <si>
    <t>10.5" × 1.0" × 0.25"</t>
  </si>
  <si>
    <t>CNC compound radius (42mm nut → 32mm bridge)</t>
  </si>
  <si>
    <t>Bass bar</t>
  </si>
  <si>
    <t>Spruce</t>
  </si>
  <si>
    <t>10" × 0.25" × 0.5"</t>
  </si>
  <si>
    <t>Glued to inside of top, under G-string foot of bridge</t>
  </si>
  <si>
    <t>Sound post</t>
  </si>
  <si>
    <t>Spruce dowel</t>
  </si>
  <si>
    <t>0.24" dia × ~2.25" long</t>
  </si>
  <si>
    <t>Friction-fit between top and back. Positioned via setter tool.</t>
  </si>
  <si>
    <t>Corner/end blocks</t>
  </si>
  <si>
    <t>Spruce or willow</t>
  </si>
  <si>
    <t>4 corner blocks + upper/lower end blocks. Glued to rib assembly.</t>
  </si>
  <si>
    <t>Top/bottom linings</t>
  </si>
  <si>
    <t>Spruce or willow strips</t>
  </si>
  <si>
    <t>0.08" × 0.3" strips</t>
  </si>
  <si>
    <t>Kerfed or bent. Reinforce top/back-to-rib joint.</t>
  </si>
  <si>
    <t>Maple (aged)</t>
  </si>
  <si>
    <t>1.6" × 1.25" × 0.16"</t>
  </si>
  <si>
    <t>CNC rough blank, hand-trim feet to match arch. NOT glued.</t>
  </si>
  <si>
    <t>Ebony or boxwood</t>
  </si>
  <si>
    <t>Standard taper (1:30)</t>
  </si>
  <si>
    <t>Friction fit, reamed holes. Or Wittner geared pegs.</t>
  </si>
  <si>
    <t>Ebony or composite</t>
  </si>
  <si>
    <t>Standard 4/4</t>
  </si>
  <si>
    <t>With fine tuners (4) for steel strings</t>
  </si>
  <si>
    <t>Chinrest</t>
  </si>
  <si>
    <t>Guarneri or Teka style, clamp-on</t>
  </si>
  <si>
    <t>Endpin / tail button</t>
  </si>
  <si>
    <t>0.2" dia</t>
  </si>
  <si>
    <t>Tail gut loops around this</t>
  </si>
  <si>
    <t>Tail gut / tail wire</t>
  </si>
  <si>
    <t>Kevlar or nylon cord</t>
  </si>
  <si>
    <t>6" loop</t>
  </si>
  <si>
    <t>Connects tailpiece to endpin</t>
  </si>
  <si>
    <t>1.0" × 0.2" × 0.16"</t>
  </si>
  <si>
    <t>4 slots filed to string gauge. Top of fingerboard, neck end.</t>
  </si>
  <si>
    <t>Steel core (Dominant or similar)</t>
  </si>
  <si>
    <t>4/4 set: G D A E</t>
  </si>
  <si>
    <t>Thomastik Dominant, Pirastro Tonica, or D'Addario Zyex</t>
  </si>
  <si>
    <t>1" × 0.2" × 0.08"</t>
  </si>
  <si>
    <t>Inlaid into top edge, protects belly from tail gut</t>
  </si>
  <si>
    <t>Purfling</t>
  </si>
  <si>
    <t>3-ply: black/white/black</t>
  </si>
  <si>
    <t>0.06" wide</t>
  </si>
  <si>
    <t>CNC channel (2mm from edge). Inlay for crack protection + aesthetics.</t>
  </si>
  <si>
    <t>Varnish</t>
  </si>
  <si>
    <t>Spirit varnish or oil varnish</t>
  </si>
  <si>
    <t>Ground coat + 10-15 color coats. Months of drying. THE hardest part.</t>
  </si>
  <si>
    <t>Phase / Operation</t>
  </si>
  <si>
    <t>PHASE 1: CNC PLATE ARCHING</t>
  </si>
  <si>
    <t>CAD: Model arches</t>
  </si>
  <si>
    <t>Import Strad or Guarneri arch template into CAD. Create 3D surface from cross-section arches. Export STL.</t>
  </si>
  <si>
    <t>CNC: Rough arch top (outside)</t>
  </si>
  <si>
    <t>3/4" ball-end mill, 0.050" stepover. Remove bulk. Leave 0.020" for finish pass. Spruce.</t>
  </si>
  <si>
    <t>CNC: Finish arch top (outside)</t>
  </si>
  <si>
    <t>3/8" ball-end mill, 0.010" stepover. Final surface. Sand 180→220 by hand along grain.</t>
  </si>
  <si>
    <t>CNC: Cut f-holes</t>
  </si>
  <si>
    <t>1/16" downcut end mill. Follow classic f-hole template. CRITICAL: nicks in upper/lower eyes.</t>
  </si>
  <si>
    <t>CNC: Purfling channel</t>
  </si>
  <si>
    <t>V-bit or 2mm end mill, 2mm from plate edge, 2mm deep. Follow outline. Inlay 3-ply purfling.</t>
  </si>
  <si>
    <t>Hand: Graduate inside of top</t>
  </si>
  <si>
    <t>Gouge + thumb plane to 2.5-3.0mm thickness. Thicker near f-holes (3.5mm). Tap-tune to ~170 Hz.</t>
  </si>
  <si>
    <t>CNC + hand: Arch back</t>
  </si>
  <si>
    <t>Same process as top. Arch back, purfle, graduate inside to 3.5-4.0mm. Tap-tune to ~200 Hz.</t>
  </si>
  <si>
    <t>Glue bass bar</t>
  </si>
  <si>
    <t>Fit spruce bass bar to inside of top under G-string bridge foot. Chalk-fit to arch, glue, clamp.</t>
  </si>
  <si>
    <t>PHASE 2: MOLD &amp; RIBS</t>
  </si>
  <si>
    <t>CNC: Inside mold</t>
  </si>
  <si>
    <t>Cut inner form from 3/4" MDF. This is the bending jig — ribs are bent around it.</t>
  </si>
  <si>
    <t>Steam-bend ribs</t>
  </si>
  <si>
    <t>Soak maple strips 1h, bend around hot bending iron. C-bout requires tightest curve. Dry on mold.</t>
  </si>
  <si>
    <t>Glue blocks + linings</t>
  </si>
  <si>
    <t>6 corner/end blocks glued to ribs on mold. Then kerfed linings top and bottom.</t>
  </si>
  <si>
    <t>PHASE 3: NECK &amp; SCROLL</t>
  </si>
  <si>
    <t>CNC: Rough scroll + pegbox</t>
  </si>
  <si>
    <t>3D profile from maple block. Ball-nose roughing. Pegbox cavity with 1/4" end mill.</t>
  </si>
  <si>
    <t>Hand: Carve scroll volute</t>
  </si>
  <si>
    <t>The scroll is THE hand-carving showcase. Gouges + chisels. Days of work for a proper Strad scroll.</t>
  </si>
  <si>
    <t>CNC: Neck heel</t>
  </si>
  <si>
    <t>Shape mortise/tenon that joins neck to body upper block. Critical angle: neck set determines action.</t>
  </si>
  <si>
    <t>Ream peg holes</t>
  </si>
  <si>
    <t>Taper reamer through pegbox walls. 1:30 taper standard. Test-fit pegs for smooth rotation.</t>
  </si>
  <si>
    <t>PHASE 4: ASSEMBLY</t>
  </si>
  <si>
    <t>Glue top to rib assembly</t>
  </si>
  <si>
    <t>Remove mold. Glue top plate to linings. 20+ spool clamps around perimeter. Check f-hole alignment.</t>
  </si>
  <si>
    <t>Set neck</t>
  </si>
  <si>
    <t>Fit neck mortise to upper block. Check projection: bridge surface should be ~27mm above belly.</t>
  </si>
  <si>
    <t>Glue back to rib assembly</t>
  </si>
  <si>
    <t>Close the box. Back plate glued last. Spool clamps. The sound post goes in AFTER this.</t>
  </si>
  <si>
    <t>PHASE 5: FINISHING</t>
  </si>
  <si>
    <t>Ground coat</t>
  </si>
  <si>
    <t>Seal wood with mineral ground or propolis. Fills pores, prevents varnish from soaking in unevenly.</t>
  </si>
  <si>
    <t>Color coats (varnish)</t>
  </si>
  <si>
    <t>10-15 thin coats of oil or spirit varnish. Each coat dries days-weeks. THE LONGEST PHASE. Months total.</t>
  </si>
  <si>
    <t>Rub out / polish</t>
  </si>
  <si>
    <t>After final cure: rub with pumice + oil to level. Polish with rottenstone. Final soft cloth buff.</t>
  </si>
  <si>
    <t>PHASE 6: SETUP</t>
  </si>
  <si>
    <t>Glue fingerboard</t>
  </si>
  <si>
    <t>Ebony fingerboard glued to neck. Check alignment with bridge line. Hollow scoop (0.5mm under E).</t>
  </si>
  <si>
    <t>Install nut + saddle</t>
  </si>
  <si>
    <t>Fit nut at fingerboard end, saddle at tail edge. File string slots to gauge.</t>
  </si>
  <si>
    <t>Fit bridge + sound post</t>
  </si>
  <si>
    <t>Trim bridge feet to match belly arch (chalk-fit). Set sound post with setter tool behind E-foot.</t>
  </si>
  <si>
    <t>Install fittings</t>
  </si>
  <si>
    <t>Pegs, tailpiece, tail gut, chinrest, endpin. String up: G3-D4-A4-E5. Tune gradually over days.</t>
  </si>
  <si>
    <t>Final setup + play in</t>
  </si>
  <si>
    <t>Adjust sound post for balance. Bridge height for 3.5mm G / 3mm E action. Play daily — tone improves over months.</t>
  </si>
  <si>
    <t>Segmented Ashiko (Djembe-Style) — 464-Piece Diamond Pattern</t>
  </si>
  <si>
    <t>29 Rings × 16 Segments · 4 Wood Species · Lathe-Turned Profile</t>
  </si>
  <si>
    <t>DESIGN PARAMETERS</t>
  </si>
  <si>
    <t>Segments per Ring</t>
  </si>
  <si>
    <t>Ring Thickness (in)</t>
  </si>
  <si>
    <t>Miter Angle (°)</t>
  </si>
  <si>
    <t>← =180/segments</t>
  </si>
  <si>
    <t>Overall Height (in)</t>
  </si>
  <si>
    <t>Head Diameter (in)</t>
  </si>
  <si>
    <t>Waist Diameter (in)</t>
  </si>
  <si>
    <t>Bell Diameter (in)</t>
  </si>
  <si>
    <t>Total Pieces</t>
  </si>
  <si>
    <t>WOOD SPECIES</t>
  </si>
  <si>
    <t>segments</t>
  </si>
  <si>
    <t>Walnut</t>
  </si>
  <si>
    <t>Yellowheart</t>
  </si>
  <si>
    <t>Total</t>
  </si>
  <si>
    <t>Diamond pattern: Maple/Walnut</t>
  </si>
  <si>
    <t>base with Cherry/Yellowheart accents</t>
  </si>
  <si>
    <t>RING-BY-RING CUT LIST</t>
  </si>
  <si>
    <t>Ring</t>
  </si>
  <si>
    <t>Board W</t>
  </si>
  <si>
    <t>Board L</t>
  </si>
  <si>
    <t>S.E.L.</t>
  </si>
  <si>
    <t>Outer Ø</t>
  </si>
  <si>
    <t>Yellow</t>
  </si>
  <si>
    <t>Zone</t>
  </si>
  <si>
    <t>Top (bowl)</t>
  </si>
  <si>
    <t>Waist (neck)</t>
  </si>
  <si>
    <t>Transition</t>
  </si>
  <si>
    <t>Bell (base)</t>
  </si>
  <si>
    <t>Size / Notes</t>
  </si>
  <si>
    <t>Hard Maple boards</t>
  </si>
  <si>
    <t>3 bf</t>
  </si>
  <si>
    <t>4/4 x 6" minimum, S2S</t>
  </si>
  <si>
    <t>Black Walnut boards</t>
  </si>
  <si>
    <t>4.5 bf</t>
  </si>
  <si>
    <t>Cherry boards</t>
  </si>
  <si>
    <t>0.5 bf</t>
  </si>
  <si>
    <t>4/4 x 4" minimum, accent only</t>
  </si>
  <si>
    <t>Yellowheart boards</t>
  </si>
  <si>
    <t>2.5 bf</t>
  </si>
  <si>
    <t>Titebond III wood glue</t>
  </si>
  <si>
    <t>16 oz</t>
  </si>
  <si>
    <t>Waterproof for drum body</t>
  </si>
  <si>
    <t>CA glue (thin)</t>
  </si>
  <si>
    <t>2 oz</t>
  </si>
  <si>
    <t>Ring alignment tack</t>
  </si>
  <si>
    <t>Drum head (goatskin)</t>
  </si>
  <si>
    <t>14" pre-tucked or raw + ring</t>
  </si>
  <si>
    <t>Rope (pre-stretched)</t>
  </si>
  <si>
    <t>40 ft</t>
  </si>
  <si>
    <t>5mm polyester or 4mm Dyneema</t>
  </si>
  <si>
    <t>Steel rings (top)</t>
  </si>
  <si>
    <t>12" ID x 3/16" rod, welded</t>
  </si>
  <si>
    <t>Steel ring (bottom)</t>
  </si>
  <si>
    <t>6" ID x 3/16" rod, foot ring</t>
  </si>
  <si>
    <t>Sled jig (CNC)</t>
  </si>
  <si>
    <t>MDF sled for miter cuts at 11.25 deg</t>
  </si>
  <si>
    <t>Band clamps</t>
  </si>
  <si>
    <t>Large hose clamps or web clamps</t>
  </si>
  <si>
    <t>Sandpaper</t>
  </si>
  <si>
    <t>assorted</t>
  </si>
  <si>
    <t>80/120/220/320/400 grit</t>
  </si>
  <si>
    <t>Finish (oil)</t>
  </si>
  <si>
    <t>8 oz</t>
  </si>
  <si>
    <t>Tung oil or Danish oil</t>
  </si>
  <si>
    <t>Lathe faceplate</t>
  </si>
  <si>
    <t>Must fit 12"+ swing</t>
  </si>
  <si>
    <t>Waste block (glue-on)</t>
  </si>
  <si>
    <t>3" x 12" hardwood for lathe mount</t>
  </si>
  <si>
    <t>Phase 1: Stock Prep &amp; Segment Cutting</t>
  </si>
  <si>
    <t>1. Mill all boards to ring thickness (0.875") + 1/16" sanding allowance</t>
  </si>
  <si>
    <t>2. Rip boards to widths per cut list (Board Width column)</t>
  </si>
  <si>
    <t>3. CNC or table saw: cut miter sled at 11.25 deg (=180/16)</t>
  </si>
  <si>
    <t>4. Crosscut each board into 16 segments at miter angle, length = S.E.L.</t>
  </si>
  <si>
    <t>5. Sort segments by ring # and species per diamond pattern</t>
  </si>
  <si>
    <t>6. Dry-fit each ring (16 segments) with band clamp, check gaps &lt; 1/64"</t>
  </si>
  <si>
    <t>Phase 2: Ring Glue-Up (one ring per day)</t>
  </si>
  <si>
    <t>7. Glue ring in two halves (8 segments each), clamp with band clamp</t>
  </si>
  <si>
    <t>8. After 1hr, join halves into full ring, re-clamp</t>
  </si>
  <si>
    <t>9. Cure overnight minimum (Titebond III: 24hr full cure)</t>
  </si>
  <si>
    <t>10. Sand both faces of cured ring flat (belt sander or drum sander)</t>
  </si>
  <si>
    <t>11. Repeat for all 29 rings -- approx 5-6 weeks at one ring/day</t>
  </si>
  <si>
    <t>Phase 3: Stack &amp; Glue Body</t>
  </si>
  <si>
    <t>12. Align diamond pattern: rotate each ring to match adjacent ring pattern</t>
  </si>
  <si>
    <t>13. Dry-stack all 29 rings, verify pattern alignment with marks</t>
  </si>
  <si>
    <t>14. Glue rings in groups of 4-5, clamped vertically with threaded rod through center</t>
  </si>
  <si>
    <t>15. After all groups cured, glue groups together (3-4 sessions)</t>
  </si>
  <si>
    <t>16. Full body now a solid 25.375" cylinder-ish blank</t>
  </si>
  <si>
    <t>Phase 4: Lathe Turning (CRITICAL)</t>
  </si>
  <si>
    <t>17. Mount waste block to bell end (bottom) with CA + screws</t>
  </si>
  <si>
    <t>18. Mount on lathe between faceplate (waste block) and live center (top)</t>
  </si>
  <si>
    <t>19. Rough-turn exterior to profile: bowl (rings 1-8), waist (9-13), bell (14-29)</t>
  </si>
  <si>
    <t>20. Use calipers to check diameters at each ring against cut list</t>
  </si>
  <si>
    <t>21. Hollow interior: bore through top, then hollow with bowl gouge</t>
  </si>
  <si>
    <t>22. Target wall thickness: 3/8" at waist, 1/2" at bowl and bell</t>
  </si>
  <si>
    <t>23. Final-turn exterior smooth, blend ring transitions</t>
  </si>
  <si>
    <t>24. Sand on lathe: 120 -&gt; 220 -&gt; 320 -&gt; 400 grit while spinning</t>
  </si>
  <si>
    <t>Phase 5: Head &amp; Hardware</t>
  </si>
  <si>
    <t>25. Part off waste block, clean bottom edge</t>
  </si>
  <si>
    <t>26. Cut bearing edge: 45-deg bevel on top rim (inside edge), 1/8" flat crown</t>
  </si>
  <si>
    <t>27. Install top steel ring: press-fit inside top 1/4"</t>
  </si>
  <si>
    <t>28. Soak goatskin head 30 min, drape over top, pull down with rope + rings</t>
  </si>
  <si>
    <t>29. Lace rope in Mali weave or vertical pattern, tensioning evenly</t>
  </si>
  <si>
    <t>30. Let head dry under tension 48-72 hrs</t>
  </si>
  <si>
    <t>Phase 6: Finish</t>
  </si>
  <si>
    <t>31. Apply 3 coats tung oil, sanding with 400 between coats</t>
  </si>
  <si>
    <t>32. Install foot ring (bottom), optional rubber feet</t>
  </si>
  <si>
    <t>33. Final tension adjustment on rope after head fully cures (1 week)</t>
  </si>
  <si>
    <t>CNC Guitar Body Reference - Blueprint Dimensions</t>
  </si>
  <si>
    <t>Fender Jazz Bass  /  Gibson Les Paul '59  /  Fender '62 Stratocaster</t>
  </si>
  <si>
    <t>BODY DIMENSIONS COMPARISON</t>
  </si>
  <si>
    <t>Jazz Bass</t>
  </si>
  <si>
    <t>Les Paul '59</t>
  </si>
  <si>
    <t>62 Strat</t>
  </si>
  <si>
    <t>Source</t>
  </si>
  <si>
    <t>34"</t>
  </si>
  <si>
    <t>24.75"</t>
  </si>
  <si>
    <t>Standard spec</t>
  </si>
  <si>
    <t>Body Thickness</t>
  </si>
  <si>
    <t>1.75"</t>
  </si>
  <si>
    <t>2.0" (carved top)</t>
  </si>
  <si>
    <t>Body Width (max)</t>
  </si>
  <si>
    <t>~13"</t>
  </si>
  <si>
    <t>~12.75"</t>
  </si>
  <si>
    <t>Blueprint</t>
  </si>
  <si>
    <t>~20"</t>
  </si>
  <si>
    <t>~17.5"</t>
  </si>
  <si>
    <t>~18"</t>
  </si>
  <si>
    <t>Neck Pocket Width</t>
  </si>
  <si>
    <t>Tenon (1.5" wide)</t>
  </si>
  <si>
    <t>2.187"</t>
  </si>
  <si>
    <t>PDF dims</t>
  </si>
  <si>
    <t>Neck Pocket Depth</t>
  </si>
  <si>
    <t>0.625"</t>
  </si>
  <si>
    <t>0.625" (tenon route)</t>
  </si>
  <si>
    <t>Pickup Style</t>
  </si>
  <si>
    <t>2x J-style single-coil</t>
  </si>
  <si>
    <t>2x PAF humbucker</t>
  </si>
  <si>
    <t>3x single-coil</t>
  </si>
  <si>
    <t>Bridge Type</t>
  </si>
  <si>
    <t>4-screw vintage / 5-screw</t>
  </si>
  <si>
    <t>ABR-1 Tune-o-matic</t>
  </si>
  <si>
    <t>6-screw vintage trem</t>
  </si>
  <si>
    <t>Wood (traditional)</t>
  </si>
  <si>
    <t>Alder or Ash</t>
  </si>
  <si>
    <t>Mahogany + Maple cap</t>
  </si>
  <si>
    <t># of Pieces (body)</t>
  </si>
  <si>
    <t>2-piece</t>
  </si>
  <si>
    <t>2-piece + cap</t>
  </si>
  <si>
    <t>FENDER JAZZ BASS - CNC ROUTING SPECS (from FenderJazzBass.pdf)</t>
  </si>
  <si>
    <t>Route</t>
  </si>
  <si>
    <t>Neck pocket</t>
  </si>
  <si>
    <t>2.5" W x 3.0" L</t>
  </si>
  <si>
    <t>Tight fit, sand to neck</t>
  </si>
  <si>
    <t>Vintage pickup (neck)</t>
  </si>
  <si>
    <t>See PDF p1</t>
  </si>
  <si>
    <t>9/16"</t>
  </si>
  <si>
    <t>35 deg angle, fit pickguard first</t>
  </si>
  <si>
    <t>Vintage pickup (bridge)</t>
  </si>
  <si>
    <t>45 deg angle</t>
  </si>
  <si>
    <t>Modern pickup (neck)</t>
  </si>
  <si>
    <t>See PDF p2</t>
  </si>
  <si>
    <t>63 deg angle, different from vintage</t>
  </si>
  <si>
    <t>Modern pickup (bridge)</t>
  </si>
  <si>
    <t>Frank Bello / AV62 standard</t>
  </si>
  <si>
    <t>Control cavity</t>
  </si>
  <si>
    <t>Per pickguard template</t>
  </si>
  <si>
    <t>Under pickguard, wire channel to pickups</t>
  </si>
  <si>
    <t>Jack route</t>
  </si>
  <si>
    <t>7/8" dia options</t>
  </si>
  <si>
    <t>Side-mount or top-mount per era</t>
  </si>
  <si>
    <t>String-through</t>
  </si>
  <si>
    <t>1/4" D, 4 holes</t>
  </si>
  <si>
    <t>Through body</t>
  </si>
  <si>
    <t>3-screw line at 34.0" from nut</t>
  </si>
  <si>
    <t>Bridge mount</t>
  </si>
  <si>
    <t>5-screw pattern</t>
  </si>
  <si>
    <t>Pilot holes</t>
  </si>
  <si>
    <t>5-screw bridge mounting line</t>
  </si>
  <si>
    <t>GIBSON LES PAUL '59 - CNC SPECS (from GibsonLesPaul59-ver10full.pdf)</t>
  </si>
  <si>
    <t>Tenon route (neck joint)</t>
  </si>
  <si>
    <t>1.5" W x 2.5" L</t>
  </si>
  <si>
    <t>Set-neck (glued), not bolt-on</t>
  </si>
  <si>
    <t>Cable channel</t>
  </si>
  <si>
    <t>0.5" square</t>
  </si>
  <si>
    <t>0.5"</t>
  </si>
  <si>
    <t>Per Catto Rev10 template</t>
  </si>
  <si>
    <t>Neck humbucker</t>
  </si>
  <si>
    <t>1.5" x 2.75"</t>
  </si>
  <si>
    <t>0.75"</t>
  </si>
  <si>
    <t>PAF-style ring mount</t>
  </si>
  <si>
    <t>Bridge humbucker</t>
  </si>
  <si>
    <t>Control cavity (rear)</t>
  </si>
  <si>
    <t>~5" x 3"</t>
  </si>
  <si>
    <t>Back-routed, plastic cover</t>
  </si>
  <si>
    <t>Toggle switch cavity</t>
  </si>
  <si>
    <t>0.75" x 1.5"</t>
  </si>
  <si>
    <t>1.0"</t>
  </si>
  <si>
    <t>Upper bout, angled</t>
  </si>
  <si>
    <t>Top carve (maple cap)</t>
  </si>
  <si>
    <t>Full body contour</t>
  </si>
  <si>
    <t>0.5" maple cap</t>
  </si>
  <si>
    <t>CNC 3D surfacing, ball-end mill</t>
  </si>
  <si>
    <t>FENDER '62 STRATOCASTER - CNC SPECS (from blueprint)</t>
  </si>
  <si>
    <t>2.187" W x 3.0" L</t>
  </si>
  <si>
    <t>4-bolt pattern, tight fit</t>
  </si>
  <si>
    <t>3x single-coil pickups</t>
  </si>
  <si>
    <t>0.75" x 3.5" each</t>
  </si>
  <si>
    <t>Angled bridge pickup, parallel N+M</t>
  </si>
  <si>
    <t>Tremolo cavity (rear)</t>
  </si>
  <si>
    <t>3.5" x 1.5"</t>
  </si>
  <si>
    <t>Spring cavity, 6-screw vintage trem</t>
  </si>
  <si>
    <t>Per pickguard</t>
  </si>
  <si>
    <t>Under pickguard, swimmin pool opt.</t>
  </si>
  <si>
    <t>1.25" x 2" recessed</t>
  </si>
  <si>
    <t>Side-mount angled jack plate</t>
  </si>
  <si>
    <t>Belly/arm contours</t>
  </si>
  <si>
    <t>3D surfacing</t>
  </si>
  <si>
    <t>Varies</t>
  </si>
  <si>
    <t>CNC ball-end mill, comfort carves</t>
  </si>
  <si>
    <t>CNC TOOLING &amp; GENERAL METHOD</t>
  </si>
  <si>
    <t>Bit</t>
  </si>
  <si>
    <t>RPM</t>
  </si>
  <si>
    <t>Feed / Notes</t>
  </si>
  <si>
    <t>Perimeter profile</t>
  </si>
  <si>
    <t>1/2" downcut spiral</t>
  </si>
  <si>
    <t>2 passes, 0.875" per pass, tabs</t>
  </si>
  <si>
    <t>Pickup cavities</t>
  </si>
  <si>
    <t>Pocket clear, 0.125" per pass</t>
  </si>
  <si>
    <t>1/2" straight</t>
  </si>
  <si>
    <t>Depth critical: +/- 0.005"</t>
  </si>
  <si>
    <t>Pocket clear, leave 0.25" floor</t>
  </si>
  <si>
    <t>3D carve (LP top / Strat contour)</t>
  </si>
  <si>
    <t>3/4" ball-end</t>
  </si>
  <si>
    <t>10% stepover, finishing pass 5%</t>
  </si>
  <si>
    <t>Jack bore</t>
  </si>
  <si>
    <t>7/8" Forstner or endmill</t>
  </si>
  <si>
    <t>Plunge, then angle for side-mount</t>
  </si>
  <si>
    <t>String-through holes</t>
  </si>
  <si>
    <t>1/4" brad point</t>
  </si>
  <si>
    <t>Drill</t>
  </si>
  <si>
    <t>Through-body, ferrule recess on back</t>
  </si>
  <si>
    <t>1. All three PDF files are REFERENCE ONLY for dimensions - not CNC-ready G-code.</t>
  </si>
  <si>
    <t>2. The Jazz Bass PDF has the most detail: 11 pages with vintage AND modern routes.</t>
  </si>
  <si>
    <t>3. The Les Paul PDF is a template reference (Catto Rev10) - use for tenon dimensions.</t>
  </si>
  <si>
    <t>4. The Strat PDF is graphical only - trace in CAD for CNC paths.</t>
  </si>
  <si>
    <t>5. For CNC: create body outline as closed polyline, then add cavity routes as pockets.</t>
  </si>
  <si>
    <t>6. FLIP JIG required for back cavities (control, trem spring, string-through).</t>
  </si>
  <si>
    <t>7. Test-fit neck before final assembly - pocket tolerance is everything.</t>
  </si>
  <si>
    <t>8. PDF files stored in project folder: FenderJazzBass.pdf, GibsonLesPaul59-ver10full.pdf, Fender62stratocaster-blueprint.pdf</t>
  </si>
  <si>
    <t>Segmented Conga — 680-Piece Barrel Shell</t>
  </si>
  <si>
    <t>34 Rings x 20 Segments · 3 Wood Species · Lathe-Turned Barrel Profile</t>
  </si>
  <si>
    <t>Miter Angle</t>
  </si>
  <si>
    <t>degrees (=180/segments)</t>
  </si>
  <si>
    <t>Max Belly Diameter</t>
  </si>
  <si>
    <t>14.97" (ring 21)</t>
  </si>
  <si>
    <t>Top Diameter (head)</t>
  </si>
  <si>
    <t>8.25" (ring 1)</t>
  </si>
  <si>
    <t>Bottom Diameter</t>
  </si>
  <si>
    <t>12.22" (ring 34)</t>
  </si>
  <si>
    <t>segments (5/ring)</t>
  </si>
  <si>
    <t>segments (10/ring)</t>
  </si>
  <si>
    <t>Outer Dia</t>
  </si>
  <si>
    <t>Head (top)</t>
  </si>
  <si>
    <t>Upper taper</t>
  </si>
  <si>
    <t>Belly (widest)</t>
  </si>
  <si>
    <t>BELLY MAX</t>
  </si>
  <si>
    <t>Lower taper</t>
  </si>
  <si>
    <t>Base (bottom)</t>
  </si>
  <si>
    <t>4 bf</t>
  </si>
  <si>
    <t>4/4 x 6" min, S2S, for 170 segments</t>
  </si>
  <si>
    <t>8 bf</t>
  </si>
  <si>
    <t>4/4 x 6" min, S2S, for 340 segments</t>
  </si>
  <si>
    <t>32 oz</t>
  </si>
  <si>
    <t>Waterproof, 34 rings = 2x ashiko glue</t>
  </si>
  <si>
    <t>Conga head (rawhide/calfskin)</t>
  </si>
  <si>
    <t>10" tucked or raw + crown ring</t>
  </si>
  <si>
    <t>Conga hardware (lugs)</t>
  </si>
  <si>
    <t>1 set</t>
  </si>
  <si>
    <t>6 lug set with tension rods + crown</t>
  </si>
  <si>
    <t>Rubber feet</t>
  </si>
  <si>
    <t>1" adhesive-backed bumpers</t>
  </si>
  <si>
    <t>Miter sled (CNC or table saw)</t>
  </si>
  <si>
    <t>MDF sled at 9 deg (=180/20)</t>
  </si>
  <si>
    <t>Large web clamps for 15" dia rings</t>
  </si>
  <si>
    <t>Threaded rod + nuts</t>
  </si>
  <si>
    <t>36"</t>
  </si>
  <si>
    <t>3/8-16 for vertical stack clamping</t>
  </si>
  <si>
    <t>Tung oil or poly-oil blend</t>
  </si>
  <si>
    <t>Must fit 15"+ swing (belly is 14.97")</t>
  </si>
  <si>
    <t>4" x 15" hardwood disc for lathe mount</t>
  </si>
  <si>
    <t>2. Rip boards to widths per cut list (Board W column, varies 1.16-1.70")</t>
  </si>
  <si>
    <t>3. Set miter sled to 9.00 deg (=180/20 segments). Verify with protractor.</t>
  </si>
  <si>
    <t>4. Crosscut each board into 20 segments per ring, length = S.E.L.</t>
  </si>
  <si>
    <t>5. Label each segment: ring # + species + position (e.g. R21-M-07)</t>
  </si>
  <si>
    <t>6. Dry-fit each ring (20 segments) with band clamp. Check gaps.</t>
  </si>
  <si>
    <t>Phase 2: Ring Glue-Up (34 rings, ~6-7 weeks at 1/day)</t>
  </si>
  <si>
    <t>7. Pattern per ring: 5 Walnut + 10 Maple + 5 Yellowheart, alternating</t>
  </si>
  <si>
    <t>8. Glue in halves (10 segments each), clamp with band clamp</t>
  </si>
  <si>
    <t>9. After 1hr, join halves into full ring, re-clamp</t>
  </si>
  <si>
    <t>10. Cure overnight. Sand both faces flat (drum sander or belt sander)</t>
  </si>
  <si>
    <t>11. CRITICAL: Check ring diameter matches cut list before stacking</t>
  </si>
  <si>
    <t>12. Align pattern: stagger segments so joints don't align ring-to-ring</t>
  </si>
  <si>
    <t>13. Dry-stack all 34 rings on 3/8" threaded rod through center</t>
  </si>
  <si>
    <t>14. Glue in groups of 5-6 rings, tighten rod with washers+nuts</t>
  </si>
  <si>
    <t>15. After all groups cured, glue groups together (4-5 sessions)</t>
  </si>
  <si>
    <t>16. Full body now a solid 29.75" barrel blank</t>
  </si>
  <si>
    <t>Phase 4: Lathe Turning</t>
  </si>
  <si>
    <t>17. WARNING: 15" belly requires lathe with 15"+ swing over bed</t>
  </si>
  <si>
    <t>18. Mount waste block to base end, mount on faceplate + live center</t>
  </si>
  <si>
    <t>19. Rough-turn exterior to barrel profile per diameter column</t>
  </si>
  <si>
    <t>20. Hollow interior: bore through top, then hollow with bowl gouge</t>
  </si>
  <si>
    <t>21. Target wall thickness: 3/8" uniform (congas are thinner than ashikos)</t>
  </si>
  <si>
    <t>22. Final-turn exterior, blend ring transitions smooth</t>
  </si>
  <si>
    <t>23. Sand on lathe: 120 -&gt; 220 -&gt; 320 -&gt; 400 grit</t>
  </si>
  <si>
    <t>24. Cut bearing edge: rounded crown on top rim (congas use round, not sharp)</t>
  </si>
  <si>
    <t>25. Drill 6 lug holes evenly spaced around top (use indexing jig)</t>
  </si>
  <si>
    <t>26. Install lugs, tension rods, crown ring</t>
  </si>
  <si>
    <t>27. Mount head: place calfskin over top, seat crown, hand-tighten rods</t>
  </si>
  <si>
    <t>28. Tune gradually: 1/4 turn per rod in star pattern over 48 hrs</t>
  </si>
  <si>
    <t>29. Apply 3 coats tung oil, sand with 400 between coats</t>
  </si>
  <si>
    <t>30. Install rubber feet on base</t>
  </si>
  <si>
    <t>31. Final tune after head fully seats (1 week of playing in)</t>
  </si>
  <si>
    <t>- Conga vs Ashiko: conga is a BARREL shape (belly wider than top AND bottom)</t>
  </si>
  <si>
    <t>- Conga uses mechanical hardware (lugs + rods) vs ashiko rope tension</t>
  </si>
  <si>
    <t>- The 20-segment ring (vs ashiko's 16) gives a smoother turning profile</t>
  </si>
  <si>
    <t>- Lathe swing is the limiting factor: 14.97" belly needs serious machine</t>
  </si>
  <si>
    <t>Didgeridoo — CNC Design Table</t>
  </si>
  <si>
    <t>Stopped Pipe: f = v/(4L) · Odd Harmonics (3v/4L, 5v/4L) · 3 Bore Profiles · Source: Didgeridoos.xlsx</t>
  </si>
  <si>
    <t>Speed of Sound (m/s)</t>
  </si>
  <si>
    <t>at 20°C</t>
  </si>
  <si>
    <t>Wall Thickness (in)</t>
  </si>
  <si>
    <t>Mouthpiece Opening (in)</t>
  </si>
  <si>
    <t>KEY &amp; RESONANCE DATA</t>
  </si>
  <si>
    <t>Fundamental (Hz)</t>
  </si>
  <si>
    <t>2nd Resonance (3v/4L)</t>
  </si>
  <si>
    <t>3rd Resonance (5v/4L)</t>
  </si>
  <si>
    <t>Theoretical Length (in)</t>
  </si>
  <si>
    <t>CYLINDRICAL BORE</t>
  </si>
  <si>
    <t>Blank Length (in)</t>
  </si>
  <si>
    <t>Bore ID (uniform)</t>
  </si>
  <si>
    <t>Blank OD (turned)</t>
  </si>
  <si>
    <t>End Correction (K1)</t>
  </si>
  <si>
    <t>CONICAL BORE</t>
  </si>
  <si>
    <t>Foot End Opening (in)</t>
  </si>
  <si>
    <t>Taper Ratio (foot/mouth)</t>
  </si>
  <si>
    <t>Cone Half-Angle (deg)</t>
  </si>
  <si>
    <t>Blank OD at Foot</t>
  </si>
  <si>
    <t>BELL BORE</t>
  </si>
  <si>
    <t>Cone Section Length</t>
  </si>
  <si>
    <t>Bell Section Length</t>
  </si>
  <si>
    <t>Bell End Opening (in)</t>
  </si>
  <si>
    <t>Blank OD at Bell</t>
  </si>
  <si>
    <t>D 1</t>
  </si>
  <si>
    <t>Eb 1</t>
  </si>
  <si>
    <t>E 1</t>
  </si>
  <si>
    <t>F 1</t>
  </si>
  <si>
    <t>Gb 1</t>
  </si>
  <si>
    <t>G 1</t>
  </si>
  <si>
    <t>Ab 1</t>
  </si>
  <si>
    <t>A 1</t>
  </si>
  <si>
    <t>Bb 1</t>
  </si>
  <si>
    <t>B 1</t>
  </si>
  <si>
    <t>C 2</t>
  </si>
  <si>
    <t>Db 2</t>
  </si>
  <si>
    <t>Gb 2</t>
  </si>
  <si>
    <t>Agave stalk (dried)</t>
  </si>
  <si>
    <t>4-6" dia, length per key (see Blank Length). Already hollowed by nature.</t>
  </si>
  <si>
    <t>OR: Hardwood blank (eucalyptus/mesquite)</t>
  </si>
  <si>
    <t>Split, hollow, re-glue method. 4x4 or 6x6 turning blank.</t>
  </si>
  <si>
    <t>OR: PVC pipe (prototype)</t>
  </si>
  <si>
    <t>1.5" ID Sch 40 PVC, cut to Theoretical Length for quick test.</t>
  </si>
  <si>
    <t>Beeswax mouthpiece ring</t>
  </si>
  <si>
    <t>Shape 1.5" ID opening, warm to fit. Traditional.</t>
  </si>
  <si>
    <t>Epoxy (if split-blank method)</t>
  </si>
  <si>
    <t>2-part slow-cure for re-gluing halves</t>
  </si>
  <si>
    <t>80/120/220 exterior, 120/220 bore</t>
  </si>
  <si>
    <t>Finish (exterior)</t>
  </si>
  <si>
    <t>Tung oil, shellac, or acrylic paint (traditional dot art)</t>
  </si>
  <si>
    <t>Finish (bore)</t>
  </si>
  <si>
    <t>Shellac or food-safe oil (seals bore, improves tone)</t>
  </si>
  <si>
    <t>Method A: Agave Stalk (Natural Bore)</t>
  </si>
  <si>
    <t>1. Select dried agave stalk, 4-6" dia, naturally hollow</t>
  </si>
  <si>
    <t>2. Cut to Blank Length for target key (see table above)</t>
  </si>
  <si>
    <t>3. Clean interior: remove pith with long drill bit or dowel + sandpaper</t>
  </si>
  <si>
    <t>4. Shape mouthpiece end: sand/file to 1.5" ID opening</t>
  </si>
  <si>
    <t>5. Tune: test fundamental with tuner, trim from foot end to raise pitch</t>
  </si>
  <si>
    <t>6. Apply beeswax mouthpiece ring, shape to lips</t>
  </si>
  <si>
    <t>7. Seal bore with shellac (2 coats, pour-through method)</t>
  </si>
  <si>
    <t>8. Finish exterior: sand, oil or paint with traditional dot patterns</t>
  </si>
  <si>
    <t>Method B: Split-Blank (CNC/Lathe)</t>
  </si>
  <si>
    <t>9. Mill hardwood blank to square cross-section (Blank OD + 1/4")</t>
  </si>
  <si>
    <t>10. Rip blank in half lengthwise on table saw</t>
  </si>
  <si>
    <t>11. CNC route: pocket-clear the bore profile in each half</t>
  </si>
  <si>
    <t>12. For conical: program taper from 1.5" (mouth) to foot-end opening</t>
  </si>
  <si>
    <t>13. For bell: program 70% cone + 30% flare at foot end</t>
  </si>
  <si>
    <t>14. Glue halves back together with epoxy, clamp with hose clamps</t>
  </si>
  <si>
    <t>15. Lathe-turn exterior: round from square, taper or straight per profile</t>
  </si>
  <si>
    <t>16. Sand exterior on lathe: 80 -&gt; 120 -&gt; 220</t>
  </si>
  <si>
    <t>17. Shape mouthpiece, apply beeswax ring</t>
  </si>
  <si>
    <t>18. Tune: test fundamental, adjust by trimming foot end</t>
  </si>
  <si>
    <t>19. Seal bore + finish exterior</t>
  </si>
  <si>
    <t>Method C: PVC Prototype (Quick Test)</t>
  </si>
  <si>
    <t>20. Cut 1.5" Sch 40 PVC to Theoretical Length</t>
  </si>
  <si>
    <t>21. Test fundamental with tuner -- validate formula before wood build</t>
  </si>
  <si>
    <t>22. Trim to tune, then use final length to inform wood blank cut</t>
  </si>
  <si>
    <t>1. STOPPED PIPE: closed at mouthpiece (lips seal), open at foot. f=v/(4L).</t>
  </si>
  <si>
    <t>2. Odd harmonics only: 2nd resonance = 3f, 3rd = 5f. This is the "toot" register.</t>
  </si>
  <si>
    <t>3. Conical bore is louder and richer than cylindrical (better harmonic coupling).</t>
  </si>
  <si>
    <t>4. Bell bore adds volume projection without changing fundamental significantly.</t>
  </si>
  <si>
    <t>5. Blank Length = Theoretical + 6" overshoot. Always cut long, tune by trimming foot.</t>
  </si>
  <si>
    <t>6. Source data: Didgeridoos.xlsx (imported formulas and bore specs).</t>
  </si>
  <si>
    <t>Flutes-AI.xlsx — Instrument Design Workbook Index</t>
  </si>
  <si>
    <t>ORIGINAL SHEETS (Tony's Legacy Data)</t>
  </si>
  <si>
    <t>Sheet Name</t>
  </si>
  <si>
    <t>Description</t>
  </si>
  <si>
    <t>Master v3 Catalog ID</t>
  </si>
  <si>
    <t>CNC Flute Dimensions</t>
  </si>
  <si>
    <t>Design</t>
  </si>
  <si>
    <t>Pentatonic Minor hole layout B3-D5 (exploratory, never built)</t>
  </si>
  <si>
    <t>LEG-DES-003</t>
  </si>
  <si>
    <t>Low to High Range</t>
  </si>
  <si>
    <t>NAF design table G3-D6, Pentatonic + Arabic scales, 32 keys</t>
  </si>
  <si>
    <t>LEG-DES-004</t>
  </si>
  <si>
    <t>Pivot Table 2</t>
  </si>
  <si>
    <t>Analysis</t>
  </si>
  <si>
    <t>Build data cross-tab</t>
  </si>
  <si>
    <t>Built</t>
  </si>
  <si>
    <t>Log</t>
  </si>
  <si>
    <t>153 flute builds #001-153 with dimensions and outcomes</t>
  </si>
  <si>
    <t>Production Log</t>
  </si>
  <si>
    <t>Price Calculator</t>
  </si>
  <si>
    <t>Business</t>
  </si>
  <si>
    <t>Pricing by key (D5=$75 to D4=$135) + modifiers</t>
  </si>
  <si>
    <t>Customers</t>
  </si>
  <si>
    <t>~22 leads from events</t>
  </si>
  <si>
    <t>Contacts</t>
  </si>
  <si>
    <t>Mode 1&amp;4 Pent.</t>
  </si>
  <si>
    <t>Flute calculator for 26 keys G3-Ab5</t>
  </si>
  <si>
    <t>LEG-DES-005</t>
  </si>
  <si>
    <t>Wolfram Export</t>
  </si>
  <si>
    <t>Data</t>
  </si>
  <si>
    <t>153-build CSV for Wolfram Cloud acoustic model validation</t>
  </si>
  <si>
    <t>WORLD FLUTE DESIGN TABLES (Claude-Built)</t>
  </si>
  <si>
    <t>Irish Flute</t>
  </si>
  <si>
    <t>6-hole diatonic, 25 keys D4-D6</t>
  </si>
  <si>
    <t>Shakuhachi</t>
  </si>
  <si>
    <t>5-hole D minor pentatonic, 25 keys</t>
  </si>
  <si>
    <t>Tin Whistle</t>
  </si>
  <si>
    <t>6-hole diatonic + fipple</t>
  </si>
  <si>
    <t>Fujara</t>
  </si>
  <si>
    <t>3-hole overtone + blow pipe, D2-G3</t>
  </si>
  <si>
    <t>LEG-DES-001</t>
  </si>
  <si>
    <t>Tuning Reference</t>
  </si>
  <si>
    <t>Reference</t>
  </si>
  <si>
    <t>ET table A2-D7, K2 corrections, cent calculator</t>
  </si>
  <si>
    <t>Kena - Kenacho</t>
  </si>
  <si>
    <t>7-hole diatonic Andean, G4-D6 (Kena) + D3-F#4 (Kenacho)</t>
  </si>
  <si>
    <t>Xiao Family</t>
  </si>
  <si>
    <t>8-hole bei/nan/qin xiao, 3 bore variants, 27 keys</t>
  </si>
  <si>
    <t>Duduk Family</t>
  </si>
  <si>
    <t>9-hole stopped pipe, 4 regional variants, 20 keys</t>
  </si>
  <si>
    <t>Moseno</t>
  </si>
  <si>
    <t>6-hole diatonic + blow pipe + 4 tuning holes, 20 keys</t>
  </si>
  <si>
    <t>Andean Duct Flutes</t>
  </si>
  <si>
    <t>Pinkullo + Tarka (square exterior CNC), 20 keys</t>
  </si>
  <si>
    <t>Siku - Zampoña</t>
  </si>
  <si>
    <t>Pan flute, 13 pipes (7 arka + 6 ira), closed tube</t>
  </si>
  <si>
    <t>Didgeridoo</t>
  </si>
  <si>
    <t>Stopped pipe, 3 bore profiles (cyl/cone/bell), 24 keys D1-Db3</t>
  </si>
  <si>
    <t>LEG-DES-002</t>
  </si>
  <si>
    <t>PERCUSSION DESIGN TABLES</t>
  </si>
  <si>
    <t>Tongue Drum</t>
  </si>
  <si>
    <t>Cantilever beam, 9 wood species, 3 drum sizes, DOE protocol</t>
  </si>
  <si>
    <t>TNG-001/002/003</t>
  </si>
  <si>
    <t>Marimba</t>
  </si>
  <si>
    <t>Free-free beam, 49 bars C3-C7, arch CNC, resonators</t>
  </si>
  <si>
    <t>Xylophone</t>
  </si>
  <si>
    <t>Free-free beam (no arch), 44 bars F4-C8</t>
  </si>
  <si>
    <t>Resonant Box</t>
  </si>
  <si>
    <t>CAPSTONE: cantilever tongues + Helmholtz chambers, 5-instrument family</t>
  </si>
  <si>
    <t>STRINGED INSTRUMENTS (BOM + Method)</t>
  </si>
  <si>
    <t>Electric Guitar Bodies</t>
  </si>
  <si>
    <t>BOM+Method</t>
  </si>
  <si>
    <t>2 solid-body styles, 32-step CNC method</t>
  </si>
  <si>
    <t>Electric Violin</t>
  </si>
  <si>
    <t>CNC sculpted body, piezo electronics</t>
  </si>
  <si>
    <t>Floor Harp</t>
  </si>
  <si>
    <t>Design+BOM</t>
  </si>
  <si>
    <t>34-string Mersenne-Taylor + 4-size comparison + 19-string lap harp</t>
  </si>
  <si>
    <t>Whamola Bass</t>
  </si>
  <si>
    <t>Single-string lever bass, P-bass pickup</t>
  </si>
  <si>
    <t>Ukulele</t>
  </si>
  <si>
    <t>Soprano/concert/tenor, Mersenne-Taylor string calc</t>
  </si>
  <si>
    <t>Acoustic Violin</t>
  </si>
  <si>
    <t>CNC top/back plates, hand-carved scroll</t>
  </si>
  <si>
    <t>DRUMS (BOM + Method)</t>
  </si>
  <si>
    <t>Segmented Ashiko</t>
  </si>
  <si>
    <t>Cut List+BOM</t>
  </si>
  <si>
    <t>29 rings x 16 seg = 464 pcs, diamond pattern, 4 woods</t>
  </si>
  <si>
    <t>ASH-001+</t>
  </si>
  <si>
    <t>CNC Guitar Bodies</t>
  </si>
  <si>
    <t>Jazz Bass + Les Paul '59 + '62 Strat blueprint dimensions</t>
  </si>
  <si>
    <t>Segmented Conga</t>
  </si>
  <si>
    <t>34 rings x 20 seg = 680 pcs, barrel profile, 3 woods</t>
  </si>
  <si>
    <t>CON-001</t>
  </si>
  <si>
    <t>Stopped pipe, 3 profiles, 24 keys + agave/split-blank methods</t>
  </si>
  <si>
    <t>Kora (21-String) — Segmented Bowl + Mersenne-Taylor String Schedule</t>
  </si>
  <si>
    <t>West African Harp-Lute · Segmented or Stave Bowl · Goatskin Head · Notched Bridge · 2 String Ranks</t>
  </si>
  <si>
    <t>Bowl Outer Diameter (in)</t>
  </si>
  <si>
    <t>← 51.5 cm traditional; Havlena build = 16"</t>
  </si>
  <si>
    <t>Bowl Depth (in)</t>
  </si>
  <si>
    <t>← 25 cm traditional; Havlena = 10.25"</t>
  </si>
  <si>
    <t>Neck Length (in)</t>
  </si>
  <si>
    <t>← 130 cm traditional; Havlena = 49"</t>
  </si>
  <si>
    <t>← 22 cm (D6, highest)</t>
  </si>
  <si>
    <t>← 79 cm (F3, lowest)</t>
  </si>
  <si>
    <t>Strings 1–7 (right hand, high)</t>
  </si>
  <si>
    <t>Strings 15–21 (left hand, low)</t>
  </si>
  <si>
    <t>× nylon density for wound bass strings</t>
  </si>
  <si>
    <t>Strings 18–21 use wound construction</t>
  </si>
  <si>
    <t>Head Material</t>
  </si>
  <si>
    <t>Goatskin</t>
  </si>
  <si>
    <t>Bowl Wood</t>
  </si>
  <si>
    <t>← Replaces traditional calabash gourd</t>
  </si>
  <si>
    <t>SEGMENTED BOWL — Option A (Ring-Stack-and-Turn)</t>
  </si>
  <si>
    <t>← 12 gives 15° miter angle</t>
  </si>
  <si>
    <t>Bowl Height (in)</t>
  </si>
  <si>
    <t>← links to Bowl Depth input</t>
  </si>
  <si>
    <t>Number of Rings</t>
  </si>
  <si>
    <t>Alternating Walnut/Maple rings</t>
  </si>
  <si>
    <t>with Cherry accent bands</t>
  </si>
  <si>
    <t>STAVE BOWL — Option B (Vertical Staves, Glue-Edge-to-Edge)</t>
  </si>
  <si>
    <t>Number of Staves</t>
  </si>
  <si>
    <t>← Even number; more staves = smoother curve</t>
  </si>
  <si>
    <t>Stave Miter Angle (°)</t>
  </si>
  <si>
    <t>Stave Height (in)</t>
  </si>
  <si>
    <t>← Bowl depth + 1" for rim overshoot</t>
  </si>
  <si>
    <t>Stave Width at Rim (in)</t>
  </si>
  <si>
    <t>← = π × bowl_Ø / num_staves</t>
  </si>
  <si>
    <t>Stave Width at Neck (in)</t>
  </si>
  <si>
    <t>← Tapers to neck hole diameter</t>
  </si>
  <si>
    <t>Stave Thickness (in)</t>
  </si>
  <si>
    <t>← Turns to ~3/8" wall on lathe</t>
  </si>
  <si>
    <t>Method</t>
  </si>
  <si>
    <t>Rip staves on table saw at miter angle, glue edge-to-edge around form, turn exterior on lathe</t>
  </si>
  <si>
    <t>Pro</t>
  </si>
  <si>
    <t>Faster than segmented (16 pcs vs 168); continuous grain; stronger shell</t>
  </si>
  <si>
    <t>Con</t>
  </si>
  <si>
    <t>Requires CNC-routed interior form OR lathe hollowing; limited decorative patterns</t>
  </si>
  <si>
    <t>STRING SCHEDULE — Mersenne-Taylor: f = (1/2L)√(T/μ)</t>
  </si>
  <si>
    <t>← Vibrating lengths are BLUE INPUT cells — adjust for your neck curve and bridge notch spacing</t>
  </si>
  <si>
    <t>Hand</t>
  </si>
  <si>
    <t>Right</t>
  </si>
  <si>
    <t>Left</t>
  </si>
  <si>
    <t>BRIDGE &amp; SOUND TRANSMISSION</t>
  </si>
  <si>
    <t>Notched free-standing</t>
  </si>
  <si>
    <t>← Sits on skin under string tension; not glued</t>
  </si>
  <si>
    <t>Bridge Height (in)</t>
  </si>
  <si>
    <t>← Taller = more leverage on skin, louder but less sustain</t>
  </si>
  <si>
    <t>Bridge Width (in)</t>
  </si>
  <si>
    <t>← Must span both string ranks</t>
  </si>
  <si>
    <t>Bridge Thickness (in)</t>
  </si>
  <si>
    <t>Bridge Material</t>
  </si>
  <si>
    <t>Hard Maple or Rosewood</t>
  </si>
  <si>
    <t>← Dense hardwood for efficient energy transfer</t>
  </si>
  <si>
    <t>Notch Depth (in)</t>
  </si>
  <si>
    <t>← 1/8″ deep V-notch per string</t>
  </si>
  <si>
    <t>Notch Spacing (in)</t>
  </si>
  <si>
    <t>← Even spacing across bridge width</t>
  </si>
  <si>
    <t>String Ranks</t>
  </si>
  <si>
    <t>2 (11 right + 10 left, separated by neck)</t>
  </si>
  <si>
    <t>Sound Transmission</t>
  </si>
  <si>
    <t>String → Bridge → Goatskin head → Bowl cavity (Helmholtz-like amplification)</t>
  </si>
  <si>
    <t>ELECTRIC OPTION — Piezo Pickup</t>
  </si>
  <si>
    <t>Pickup Type</t>
  </si>
  <si>
    <t>Under-bridge piezo disc</t>
  </si>
  <si>
    <t>Pickup Size</t>
  </si>
  <si>
    <t>27mm or 35mm piezo disc</t>
  </si>
  <si>
    <t>← Sandwiched between bridge foot and skin</t>
  </si>
  <si>
    <t>Preamp</t>
  </si>
  <si>
    <t>Active preamp with EQ (battery-powered)</t>
  </si>
  <si>
    <t>Output</t>
  </si>
  <si>
    <t>1/4" mono jack mounted on bowl rim</t>
  </si>
  <si>
    <t>Wiring Path</t>
  </si>
  <si>
    <t>Piezo → preamp (inside bowl) → jack on rim</t>
  </si>
  <si>
    <t>Piezo captures bridge vibrations directly; preamp buffers high-impedance signal. Can blend with external mic for live/studio.</t>
  </si>
  <si>
    <t>Bowl</t>
  </si>
  <si>
    <t>Segment blanks (Option A)</t>
  </si>
  <si>
    <t>Per cut list above</t>
  </si>
  <si>
    <t>Walnut / Maple / Cherry</t>
  </si>
  <si>
    <t>~6 bd ft total</t>
  </si>
  <si>
    <t>Stave blanks (Option B)</t>
  </si>
  <si>
    <t>~4 bd ft total</t>
  </si>
  <si>
    <t>51" × 2" × 3/4" (or laminated)</t>
  </si>
  <si>
    <t>Hard Maple or Mahogany</t>
  </si>
  <si>
    <t>Straight grain essential; can laminate 2 pcs</t>
  </si>
  <si>
    <t>Head</t>
  </si>
  <si>
    <t>24"+ diameter, untrimmed</t>
  </si>
  <si>
    <t>Rawhide goatskin</t>
  </si>
  <si>
    <t>Soak 12-24h before stretching</t>
  </si>
  <si>
    <t>Bridge blank</t>
  </si>
  <si>
    <t>6" × 2.5" × 3/4"</t>
  </si>
  <si>
    <t>CNC notch routing or hand-file</t>
  </si>
  <si>
    <t>Nylon monofilament (treble)</t>
  </si>
  <si>
    <t>Gauges per string schedule</t>
  </si>
  <si>
    <t>Harp/classical guitar string stock</t>
  </si>
  <si>
    <t>Wound nylon (bass)</t>
  </si>
  <si>
    <t>Nylon core + wire wrap</t>
  </si>
  <si>
    <t>Custom gauge or classical guitar bass set</t>
  </si>
  <si>
    <t>Tuning rings (konso)</t>
  </si>
  <si>
    <t>Braided leather rings on neck</t>
  </si>
  <si>
    <t>Rawhide or leather cord</t>
  </si>
  <si>
    <t>Traditional tuning method; slide ring up/down neck</t>
  </si>
  <si>
    <t>Machine tuners (modern option)</t>
  </si>
  <si>
    <t>Zither or harp pins</t>
  </si>
  <si>
    <t>Steel</t>
  </si>
  <si>
    <t>Alternative to traditional konso rings</t>
  </si>
  <si>
    <t>Tail piece / string anchor</t>
  </si>
  <si>
    <t>Steel rod or hardwood bar at bowl base</t>
  </si>
  <si>
    <t>Steel or Hardwood</t>
  </si>
  <si>
    <t>Strings attach here, run over bridge to neck</t>
  </si>
  <si>
    <t>Tacking nails / rings for skin</t>
  </si>
  <si>
    <t>Upholstery tacks or cord lacing</t>
  </si>
  <si>
    <t>Steel / Nylon cord</t>
  </si>
  <si>
    <t>Secure goatskin around bowl rim</t>
  </si>
  <si>
    <t>Electric</t>
  </si>
  <si>
    <t>Piezo disc</t>
  </si>
  <si>
    <t>27mm or 35mm</t>
  </si>
  <si>
    <t>Piezoelectric ceramic</t>
  </si>
  <si>
    <t>Under-bridge placement</t>
  </si>
  <si>
    <t>Preamp + battery</t>
  </si>
  <si>
    <t>Active preamp board + 9V</t>
  </si>
  <si>
    <t>PCB</t>
  </si>
  <si>
    <t>Mounts inside bowl</t>
  </si>
  <si>
    <t>1/4" output jack</t>
  </si>
  <si>
    <t>Mono, panel-mount</t>
  </si>
  <si>
    <t>Chrome/Nickel</t>
  </si>
  <si>
    <t>Drill and mount on bowl rim</t>
  </si>
  <si>
    <t>Wood glue</t>
  </si>
  <si>
    <t>Titebond III (waterproof)</t>
  </si>
  <si>
    <t>For segmented/stave bowl assembly</t>
  </si>
  <si>
    <t>80/120/220/320/400</t>
  </si>
  <si>
    <t>Bowl exterior + neck finishing</t>
  </si>
  <si>
    <t>Oil finish</t>
  </si>
  <si>
    <t>Natural finish; avoid heavy poly on acoustic body</t>
  </si>
  <si>
    <t>10.8" × 4.0" × 0.500"</t>
  </si>
  <si>
    <t>Bowl — Segmented</t>
  </si>
  <si>
    <t>Set table saw miter sled to 15°</t>
  </si>
  <si>
    <t>Table saw, miter sled</t>
  </si>
  <si>
    <t>Verify angle with digital protractor</t>
  </si>
  <si>
    <t>Same technique as Ashiko/Conga builds</t>
  </si>
  <si>
    <t>Cut all segments per cut list (168 pcs)</t>
  </si>
  <si>
    <t>Sort by ring; label each ring's segments</t>
  </si>
  <si>
    <t>Cut extras (5-10%) for rejects</t>
  </si>
  <si>
    <t>Glue rings one at a time on flat surface</t>
  </si>
  <si>
    <t>Band clamp, wax paper</t>
  </si>
  <si>
    <t>1 ring per glue-up; cure 1h min</t>
  </si>
  <si>
    <t>Check ring is flat before moving to next</t>
  </si>
  <si>
    <t>Stack and glue rings (bottom to top)</t>
  </si>
  <si>
    <t>Pipe clamps, alignment pins</t>
  </si>
  <si>
    <t>Align by outer edge; cure 2h between stacks</t>
  </si>
  <si>
    <t>Use indexing marks to maintain pattern alignment</t>
  </si>
  <si>
    <t>Mount on lathe, turn exterior profile</t>
  </si>
  <si>
    <t>Lathe, bowl gouge</t>
  </si>
  <si>
    <t>15"+ swing required for 20" bowl</t>
  </si>
  <si>
    <t>⚠️ Large diameter — low RPM (200-400), face shield</t>
  </si>
  <si>
    <t>Hollow interior to uniform wall thickness</t>
  </si>
  <si>
    <t>Lathe, hollowing tool</t>
  </si>
  <si>
    <t>Target 3/8" wall; verify with calipers</t>
  </si>
  <si>
    <t>Leave 1" thick rim for skin attachment</t>
  </si>
  <si>
    <t>Bowl — Stave Alt.</t>
  </si>
  <si>
    <t>Rip staves at 11.25° bevel on table saw</t>
  </si>
  <si>
    <t>Table saw</t>
  </si>
  <si>
    <t>16 staves per cut list dimensions</t>
  </si>
  <si>
    <t>Blade tilt = miter angle; test fit 3 staves first</t>
  </si>
  <si>
    <t>Glue staves around CNC-routed interior form</t>
  </si>
  <si>
    <t>Band clamp, form, glue</t>
  </si>
  <si>
    <t>Apply glue to both edges; tighten gradually</t>
  </si>
  <si>
    <t>Form can be MDF, CNC-cut to hemispherical profile</t>
  </si>
  <si>
    <t>Turn exterior on lathe, hollow if needed</t>
  </si>
  <si>
    <t>Lathe</t>
  </si>
  <si>
    <t>Same as step 6</t>
  </si>
  <si>
    <t>Stave bowl may only need exterior truing</t>
  </si>
  <si>
    <t>Joint/plane neck blank to final dimensions</t>
  </si>
  <si>
    <t>51" × 2" × 3/4" (or laminate)</t>
  </si>
  <si>
    <t>Straight grain critical; sight along edge for twist</t>
  </si>
  <si>
    <t>Drill neck-through-bowl holes (2 holes in head)</t>
  </si>
  <si>
    <t>Drill press or CNC</t>
  </si>
  <si>
    <t>Hole Ø = neck width + 1/16" clearance</t>
  </si>
  <si>
    <t>Neck passes through skin and bowl; wedge-locked</t>
  </si>
  <si>
    <t>Shape neck profile (round or D-shaped)</t>
  </si>
  <si>
    <t>Spokeshave, rasp, sandpaper</t>
  </si>
  <si>
    <t>Comfortable grip; slight taper toward top</t>
  </si>
  <si>
    <t>Can CNC rough profile, hand-finish</t>
  </si>
  <si>
    <t>Soak goatskin 12-24 hours</t>
  </si>
  <si>
    <t>Bucket, warm water</t>
  </si>
  <si>
    <t>Skin should be pliable, not slimy</t>
  </si>
  <si>
    <t>Add small amount of salt to water</t>
  </si>
  <si>
    <t>Stretch skin over bowl, secure with tacks/cord</t>
  </si>
  <si>
    <t>Upholstery tacks or nylon cord</t>
  </si>
  <si>
    <t>Pull evenly from opposite sides; skin must be taut</t>
  </si>
  <si>
    <t>Skin shrinks as it dries — will tighten further</t>
  </si>
  <si>
    <t>Cut holes in skin for neck and sound hole</t>
  </si>
  <si>
    <t>Razor knife</t>
  </si>
  <si>
    <t>Mark from inside; cut slightly undersized</t>
  </si>
  <si>
    <t>Skin grips neck tightly through these holes</t>
  </si>
  <si>
    <t>CNC-route or hand-carve 21 notches in bridge</t>
  </si>
  <si>
    <t>CNC (1/16" bit) or needle files</t>
  </si>
  <si>
    <t>V-notches, 0.273" spacing, 1/8" deep</t>
  </si>
  <si>
    <t>11 notches one side, 10 other (separated by neck slot)</t>
  </si>
  <si>
    <t>Insert neck through bowl/skin</t>
  </si>
  <si>
    <t>Neck should be snug but removable</t>
  </si>
  <si>
    <t>Wedge or friction fit at bowl penetration points</t>
  </si>
  <si>
    <t>Place bridge on skin, tie strings</t>
  </si>
  <si>
    <t>Bridge sits on skin under string tension only</t>
  </si>
  <si>
    <t>Start from middle strings outward for even tension</t>
  </si>
  <si>
    <t>Attach strings to tail piece and neck tuning rings</t>
  </si>
  <si>
    <t>Tie loop at tail; hitch knot at tuning ring</t>
  </si>
  <si>
    <t>Traditional konso rings slide up/down to tune</t>
  </si>
  <si>
    <t>Mount piezo disc under bridge foot on skin</t>
  </si>
  <si>
    <t>Contact adhesive</t>
  </si>
  <si>
    <t>Center piezo under bridge; thin adhesive layer</t>
  </si>
  <si>
    <t>Test placement with tap tones before gluing</t>
  </si>
  <si>
    <t>Install preamp + jack in bowl</t>
  </si>
  <si>
    <t>Drill, soldering iron</t>
  </si>
  <si>
    <t>Jack hole on rim; preamp velcro'd inside</t>
  </si>
  <si>
    <t>Keep wire run short; shield from bridge to preamp</t>
  </si>
  <si>
    <t>Sand bowl exterior 80→120→220→320→400</t>
  </si>
  <si>
    <t>Lathe or hand</t>
  </si>
  <si>
    <t>Progressive grit; remove all tool marks</t>
  </si>
  <si>
    <t>Don't sand skin or bridge contact areas</t>
  </si>
  <si>
    <t>Apply oil finish to bowl + neck</t>
  </si>
  <si>
    <t>Rag, brush</t>
  </si>
  <si>
    <t>2-3 coats tung oil; 24h between coats</t>
  </si>
  <si>
    <t>Keep finish off skin and bridge foot</t>
  </si>
  <si>
    <t>Tune all 21 strings to F major diatonic</t>
  </si>
  <si>
    <t>F3-D6; tune bass first, work up</t>
  </si>
  <si>
    <t>Allow 2-3 days for strings to stretch and settle</t>
  </si>
  <si>
    <t>1. Bowl diameter directly affects volume and bass response. Larger bowl = louder, more bass.</t>
  </si>
  <si>
    <t>2. Goatskin tension is critical — too tight = thin/bright, too loose = muddy/quiet. Let dry completely before final tuning.</t>
  </si>
  <si>
    <t>3. String lengths are approximations based on a linear neck curve. Actual lengths depend on your neck curvature and bridge position.</t>
  </si>
  <si>
    <t>4. %Breaking over 80% risks breakage. If any string exceeds this, increase vibrating length (lower bridge, longer neck) or use heavier gauge.</t>
  </si>
  <si>
    <t>5. Wound strings (#18-21) use 2.5× nylon density factor. Adjust wound start point if %breaking is too high on plain nylon bass strings.</t>
  </si>
  <si>
    <t>6. Segmented bowl: same miter sled + ring-stack method as Ashiko and Conga sheets. Stave bowl: faster but less decorative.</t>
  </si>
  <si>
    <t>7. Traditional kora uses calabash gourd — segmented/stave wood bowl is Tony's CNC adaptation for consistency and durability.</t>
  </si>
  <si>
    <t>8. Electric version: piezo under bridge captures all 21 strings. Position affects tone — center = balanced, offset = favors one hand.</t>
  </si>
  <si>
    <t>9. Havlena build reference: smaller proportions (16" bowl, 49" neck). Full-size traditional kora is larger (20" bowl, 51" neck).</t>
  </si>
  <si>
    <t>10. String 21 doubles string 20 (both F3) — traditional kora has 11 right-hand + 10 left-hand strings with the lowest note shared.</t>
  </si>
  <si>
    <t>WORLD STRINGS (Claude-Built)</t>
  </si>
  <si>
    <t>Kora</t>
  </si>
  <si>
    <t>21-string harp-lute, segmented/stave bowl, Mersenne-Taylor, bridge physics, electric option, 24-step build</t>
  </si>
  <si>
    <t>KOR-001</t>
  </si>
  <si>
    <t>11. TODO: Revisit treble string stress — strings 1-5 and #18 exceed 80% breaking. Options: reduce B10 (treble tension), lengthen F59:F63/F76 (vibrating length), or switch to fluorocarbon (higher σ_break).</t>
  </si>
  <si>
    <t>Ngoni (Kamele N'goni) — Segmented Bowl + Mersenne-Taylor String Schedule</t>
  </si>
  <si>
    <t>West African Rhythm Harp · Segmented Bowl · Goatskin Head · Pentatonic D-F-G-A-C · Donso &amp; Kamele Variants</t>
  </si>
  <si>
    <t>Variant</t>
  </si>
  <si>
    <t>Donso (6)</t>
  </si>
  <si>
    <t>Kamele (10)</t>
  </si>
  <si>
    <t>Kamele (14)</t>
  </si>
  <si>
    <t>String Count</t>
  </si>
  <si>
    <t>Bowl Outer Ø (in)</t>
  </si>
  <si>
    <t>Shortest String (in)</t>
  </si>
  <si>
    <t>Longest String (in)</t>
  </si>
  <si>
    <t>σ_break (psi)</t>
  </si>
  <si>
    <t>← Pentatonic: D-F-G-A-C repeating</t>
  </si>
  <si>
    <t>SEGMENTED BOWL (same ring-stack-and-turn as Kora/Ashiko/Conga)</t>
  </si>
  <si>
    <t>← 10 segments = 18° miter (smaller bowl needs fewer)</t>
  </si>
  <si>
    <t>← 5/8" rings</t>
  </si>
  <si>
    <t>Based on Kamele 10</t>
  </si>
  <si>
    <t>← Links to Kamele 10 bowl depth</t>
  </si>
  <si>
    <t>RING-BY-RING CUT LIST (Kamele 10)</t>
  </si>
  <si>
    <t>STRING SCHEDULES — Mersenne-Taylor: f = (1/2L)√(T/μ)</t>
  </si>
  <si>
    <t>Pentatonic tuning: D-F-G-A-C repeating. All strings nylon monofilament.</t>
  </si>
  <si>
    <t>DONSO 6-STRING</t>
  </si>
  <si>
    <t>Gauge mm</t>
  </si>
  <si>
    <t>Status</t>
  </si>
  <si>
    <t>KAMELE 10-STRING</t>
  </si>
  <si>
    <t>KAMELE 14-STRING</t>
  </si>
  <si>
    <t>BILL OF MATERIALS (Kamele 10 shown — adjust qty for other variants)</t>
  </si>
  <si>
    <t>Segment blanks</t>
  </si>
  <si>
    <t>Per cut list</t>
  </si>
  <si>
    <t>~3 bd ft total for Kamele 10</t>
  </si>
  <si>
    <t>30" × 1.5" × 0.75"</t>
  </si>
  <si>
    <t>Straight grain; shorter than Kora</t>
  </si>
  <si>
    <t>16"+ diameter</t>
  </si>
  <si>
    <t>Soak 12-24h</t>
  </si>
  <si>
    <t>4" × 2" × 0.5"</t>
  </si>
  <si>
    <t>Notched; simpler than Kora (no 2-rank split)</t>
  </si>
  <si>
    <t>0.5-1.6mm gauges (per schedule)</t>
  </si>
  <si>
    <t>All plain nylon; no wound strings needed</t>
  </si>
  <si>
    <t>Tuning rings (konso) or pegs</t>
  </si>
  <si>
    <t>Braided leather or wooden pegs</t>
  </si>
  <si>
    <t>Leather/Wood</t>
  </si>
  <si>
    <t>Traditional slide-tuning rings</t>
  </si>
  <si>
    <t>String anchor / tail bar</t>
  </si>
  <si>
    <t>Steel rod or hardwood bar</t>
  </si>
  <si>
    <t>At bowl base</t>
  </si>
  <si>
    <t>Skin tacking hardware</t>
  </si>
  <si>
    <t>Upholstery tacks or cord</t>
  </si>
  <si>
    <t>Steel/Nylon</t>
  </si>
  <si>
    <t>Secure skin around rim</t>
  </si>
  <si>
    <t>Electric (opt)</t>
  </si>
  <si>
    <t>Piezo disc + preamp + jack</t>
  </si>
  <si>
    <t>27mm piezo, active preamp, 1/4" jack</t>
  </si>
  <si>
    <t>Same as Kora electric option</t>
  </si>
  <si>
    <t>Glue + sandpaper + finish</t>
  </si>
  <si>
    <t>Titebond III, 80-400 grit, tung oil</t>
  </si>
  <si>
    <t>Standard finishing kit</t>
  </si>
  <si>
    <t>Set miter sled to 18°; cut 110 segments</t>
  </si>
  <si>
    <t>Table saw, sled</t>
  </si>
  <si>
    <t>Same technique as Ashiko/Conga/Kora. Cut 10% extras.</t>
  </si>
  <si>
    <t>Glue rings (10 seg/ring), stack and glue 11 rings</t>
  </si>
  <si>
    <t>Band clamp</t>
  </si>
  <si>
    <t>1 ring at a time; check flat before stacking</t>
  </si>
  <si>
    <t>Mount on lathe, turn exterior + hollow interior</t>
  </si>
  <si>
    <t>12" swing OK for Kamele 10. Target 3/8" wall.</t>
  </si>
  <si>
    <t>Joint/plane neck blank; shape to round or D-profile</t>
  </si>
  <si>
    <t>Jointer, spokeshave</t>
  </si>
  <si>
    <t>30" for Kamele 10; can CNC rough profile</t>
  </si>
  <si>
    <t>Drill neck-through-bowl hole in head</t>
  </si>
  <si>
    <t>Drill press</t>
  </si>
  <si>
    <t>Single hole (Ngoni has 1 neck hole, not 2 like Kora)</t>
  </si>
  <si>
    <t>Soak goatskin, stretch over bowl, secure with tacks</t>
  </si>
  <si>
    <t>Tacks, cord</t>
  </si>
  <si>
    <t>Same process as Kora; smaller skin</t>
  </si>
  <si>
    <t>Carve/CNC bridge with 10 notches</t>
  </si>
  <si>
    <t>CNC or files</t>
  </si>
  <si>
    <t>All strings on one side of neck (unlike Kora's 2-rank)</t>
  </si>
  <si>
    <t>Insert neck, place bridge, string up</t>
  </si>
  <si>
    <t>Bridge sits on skin under tension; start middle strings out</t>
  </si>
  <si>
    <t>Attach tuning rings, tune to D pentatonic</t>
  </si>
  <si>
    <t>Tuner</t>
  </si>
  <si>
    <t>D-F-G-A-C repeating; allow 2-3 days to settle</t>
  </si>
  <si>
    <t>Sand and oil bowl + neck</t>
  </si>
  <si>
    <t>Sandpaper, oil</t>
  </si>
  <si>
    <t>80→400 grit; 2-3 coats tung oil</t>
  </si>
  <si>
    <t>1. Ngoni is simpler than Kora: all strings on one side of neck, single bridge plane, smaller bowl.</t>
  </si>
  <si>
    <t>2. Donso (6-string) is the traditional hunter's harp. Kamele is the modern, larger variant preferred by Malian griots.</t>
  </si>
  <si>
    <t>3. Pentatonic D-F-G-A-C is standard. Some players tune to other root notes but keep the minor pentatonic pattern.</t>
  </si>
  <si>
    <t>4. Bowl construction is identical to Kora (segmented ring-stack or vertical stave) but smaller — fits on a 12" lathe swing.</t>
  </si>
  <si>
    <t>5. All strings are plain nylon — no wound strings needed at these tensions and lengths.</t>
  </si>
  <si>
    <t>6. Electric option: same under-bridge piezo as Kora. Smaller bowl resonance means electric may be preferable for live performance.</t>
  </si>
  <si>
    <t>7. String schedule vibrating lengths are starting points. Adjust blue input cells to match your actual neck curve and bridge placement.</t>
  </si>
  <si>
    <t>Stave Lute / Oud — Bowl-Back Construction + Mersenne-Taylor String Schedule</t>
  </si>
  <si>
    <t>Oud (fretless, 11 strings) · Lute (fretted, 6-13 courses) · 14-21 Ribs Bent Over CNC Mold · Spruce Soundboard</t>
  </si>
  <si>
    <t>Oud</t>
  </si>
  <si>
    <t>Lute (8-course)</t>
  </si>
  <si>
    <t>Nut to bridge (vibrating length)</t>
  </si>
  <si>
    <t>Soundboard face</t>
  </si>
  <si>
    <t>Body Width (in)</t>
  </si>
  <si>
    <t>Widest point</t>
  </si>
  <si>
    <t>Body Depth (in)</t>
  </si>
  <si>
    <t>Bowl depth at center</t>
  </si>
  <si>
    <t>Number of Ribs</t>
  </si>
  <si>
    <t>More ribs = smoother curve</t>
  </si>
  <si>
    <t>Rib Thickness (mm)</t>
  </si>
  <si>
    <t>~0.110" — thin enough to bend</t>
  </si>
  <si>
    <t>Rib Width (in)</t>
  </si>
  <si>
    <t>π × depth / rib_count (arc approximation)</t>
  </si>
  <si>
    <t>Rib Length (in)</t>
  </si>
  <si>
    <t>Runs neck-to-tail along bowl</t>
  </si>
  <si>
    <t>Oud: 5 courses × 2 + 1 bass. Lute: 8 courses (6×2 + 2×1 + 1 single)</t>
  </si>
  <si>
    <t>Fretted?</t>
  </si>
  <si>
    <t>No</t>
  </si>
  <si>
    <t>Yes</t>
  </si>
  <si>
    <t>Oud = fretless; Lute = tied gut frets</t>
  </si>
  <si>
    <t>European spruce or Western red cedar</t>
  </si>
  <si>
    <t>Rib Material</t>
  </si>
  <si>
    <t>Walnut or Rosewood</t>
  </si>
  <si>
    <t>Maple or Yew</t>
  </si>
  <si>
    <t>Must be straight-grained for bending</t>
  </si>
  <si>
    <t>Target Tension (lbs)</t>
  </si>
  <si>
    <t>Per string; lighter than guitar</t>
  </si>
  <si>
    <t>STEAM BENDING &amp; CNC MOLD</t>
  </si>
  <si>
    <t>Bend Radius at Tail (in)</t>
  </si>
  <si>
    <t>Tightest curve — at the bottom of the bowl</t>
  </si>
  <si>
    <t>Bend Radius at Equator (in)</t>
  </si>
  <si>
    <t>Gentler curve at widest point</t>
  </si>
  <si>
    <t>Steam Time (min)</t>
  </si>
  <si>
    <t>= thickness_in_inches × 60 min</t>
  </si>
  <si>
    <t>Min Bend Radius for 2.8mm (in)</t>
  </si>
  <si>
    <t>Walnut/Maple at 2.8mm; species-dependent</t>
  </si>
  <si>
    <t>Feasibility Check</t>
  </si>
  <si>
    <t>Tail radius must exceed minimum bend radius</t>
  </si>
  <si>
    <t>CNC Mold Design</t>
  </si>
  <si>
    <t>Mold Material</t>
  </si>
  <si>
    <t>MDF or plywood laminate</t>
  </si>
  <si>
    <t>CNC-route cross-sections, assemble into 3D form</t>
  </si>
  <si>
    <t>Mold Profile</t>
  </si>
  <si>
    <t>Half-bowl shape — ribs draped and clamped</t>
  </si>
  <si>
    <t>Ribs bent hot over mold; clamp until cool</t>
  </si>
  <si>
    <t>End Clasp</t>
  </si>
  <si>
    <t>Hardwood or aluminum at neck/tail joints</t>
  </si>
  <si>
    <t>Structural reinforcement where ribs converge</t>
  </si>
  <si>
    <t>Reinforcing Strips</t>
  </si>
  <si>
    <t>Linen or paper tape between ribs</t>
  </si>
  <si>
    <t>Glued inside for added stiffness (optional)</t>
  </si>
  <si>
    <t>SPECIES BENDABILITY (at 2.8mm thickness, steamed)</t>
  </si>
  <si>
    <t>Species</t>
  </si>
  <si>
    <t>Min Radius (in)</t>
  </si>
  <si>
    <t>Rating</t>
  </si>
  <si>
    <t>Excellent bender; traditional lute rib wood</t>
  </si>
  <si>
    <t>Bends very well; heavier than maple</t>
  </si>
  <si>
    <t>Yew</t>
  </si>
  <si>
    <t>Historical lute rib choice; springy</t>
  </si>
  <si>
    <t>Good bender; traditional oud choice</t>
  </si>
  <si>
    <t>Moderate; requires careful steaming</t>
  </si>
  <si>
    <t>Good bender; attractive figure</t>
  </si>
  <si>
    <t>Rosewood</t>
  </si>
  <si>
    <t>★★</t>
  </si>
  <si>
    <t>Dense, brittle — needs extra steam time + slow bending</t>
  </si>
  <si>
    <t>Moderate; beautiful but stains everything red</t>
  </si>
  <si>
    <t>OUD STRING SCHEDULE — 11 Strings (5 courses × 2 + 1 single bass)</t>
  </si>
  <si>
    <t>Course</t>
  </si>
  <si>
    <t>1 (treble)</t>
  </si>
  <si>
    <t>6 (bass)</t>
  </si>
  <si>
    <t>NOTE: Courses 1-2 exceed nylon breaking limit. Real ouds use fluorocarbon (σ=80kpsi) or gut (σ=55kpsi). Update B20 to model.</t>
  </si>
  <si>
    <t>LUTE STRING SCHEDULE — 8-Course Renaissance Lute (15 strings)</t>
  </si>
  <si>
    <t>7 (bass)</t>
  </si>
  <si>
    <t>8 (bass)</t>
  </si>
  <si>
    <t>LUTE FRET POSITION CALCULATOR (Equal Temperament)</t>
  </si>
  <si>
    <t>Fret #</t>
  </si>
  <si>
    <t>Interval</t>
  </si>
  <si>
    <t>Dist from Nut (in)</t>
  </si>
  <si>
    <t>Fret-to-Fret (in)</t>
  </si>
  <si>
    <t>Note (if open G4)</t>
  </si>
  <si>
    <t>Open</t>
  </si>
  <si>
    <t>m2</t>
  </si>
  <si>
    <t>M2</t>
  </si>
  <si>
    <t>m3</t>
  </si>
  <si>
    <t>M3</t>
  </si>
  <si>
    <t>P4</t>
  </si>
  <si>
    <t>TT</t>
  </si>
  <si>
    <t>P5</t>
  </si>
  <si>
    <t>m6</t>
  </si>
  <si>
    <t>BILL OF MATERIALS (Oud variant shown)</t>
  </si>
  <si>
    <t>Ribs</t>
  </si>
  <si>
    <t>29.5" × 1.2" × 0.110" (2.8mm)</t>
  </si>
  <si>
    <t>Steam bent over CNC mold; Sofianos supplier</t>
  </si>
  <si>
    <t>End clasp (neck)</t>
  </si>
  <si>
    <t>3" × 2" × 0.5"</t>
  </si>
  <si>
    <t>Where ribs converge at neck end</t>
  </si>
  <si>
    <t>End clasp (tail)</t>
  </si>
  <si>
    <t>2" × 1.5" × 0.5"</t>
  </si>
  <si>
    <t>Where ribs converge at tail</t>
  </si>
  <si>
    <t>Reinforcing strips</t>
  </si>
  <si>
    <t>29" × 0.5" strips</t>
  </si>
  <si>
    <t>Linen tape</t>
  </si>
  <si>
    <t>Glued between ribs on inside (optional)</t>
  </si>
  <si>
    <t>Soundboard blank</t>
  </si>
  <si>
    <t>20" × 15" × 0.100" (2.5mm)</t>
  </si>
  <si>
    <t>Bookmatched; soundhole rosette area</t>
  </si>
  <si>
    <t>Rosette</t>
  </si>
  <si>
    <t>3-4" diameter</t>
  </si>
  <si>
    <t>Wood/paper mosaic</t>
  </si>
  <si>
    <t>Laser cut or hand-inlaid</t>
  </si>
  <si>
    <t>Bracing bars</t>
  </si>
  <si>
    <t>Various × 0.25" × 0.375"</t>
  </si>
  <si>
    <t>Fan bracing or ladder bracing pattern</t>
  </si>
  <si>
    <t>Oud: short neck; headstock angled back ~90°</t>
  </si>
  <si>
    <t>Headstock / Pegbox</t>
  </si>
  <si>
    <t>8" × 3" × 1"</t>
  </si>
  <si>
    <t>6 peg holes for 11 strings (5 courses)</t>
  </si>
  <si>
    <t>Friction pegs</t>
  </si>
  <si>
    <t>Standard oud/lute pegs</t>
  </si>
  <si>
    <t>Or planetary geared pegs for easier tuning</t>
  </si>
  <si>
    <t>Nylon + wound set</t>
  </si>
  <si>
    <t>Per string schedule gauges</t>
  </si>
  <si>
    <t>Nylon/wound</t>
  </si>
  <si>
    <t>Fluorocarbon recommended for courses 1-2</t>
  </si>
  <si>
    <t>6" × 1" × 0.375"</t>
  </si>
  <si>
    <t>Glued to soundboard; strings tied through holes</t>
  </si>
  <si>
    <t>2" × 0.25" × 0.125"</t>
  </si>
  <si>
    <t>Bone</t>
  </si>
  <si>
    <t>11 string slots</t>
  </si>
  <si>
    <t>Titebond, shellac, 80-400 grit</t>
  </si>
  <si>
    <t>Shellac is traditional oud/lute finish</t>
  </si>
  <si>
    <t>Mold</t>
  </si>
  <si>
    <t>CNC-route half-bowl mold profile in MDF (3-5 cross-section layers)</t>
  </si>
  <si>
    <t>ShopBot CNC</t>
  </si>
  <si>
    <t>Generate profile from body dimensions; stack and glue layers</t>
  </si>
  <si>
    <t>Sand mold smooth; apply release agent (wax or packing tape)</t>
  </si>
  <si>
    <t>Drum sander</t>
  </si>
  <si>
    <t>Ribs must slide off after gluing</t>
  </si>
  <si>
    <t>Steam</t>
  </si>
  <si>
    <t>Build/prep steam box (or use existing). Heat to 212°F.</t>
  </si>
  <si>
    <t>Steam box</t>
  </si>
  <si>
    <t>1" PVC pipe works for small ribs; need sustained steam</t>
  </si>
  <si>
    <t>Steam ribs 7 min each (2.8mm thick); bend hot over mold immediately</t>
  </si>
  <si>
    <t>Steam box, mold</t>
  </si>
  <si>
    <t>Clamp each rib to mold; let cool 20 min before removing</t>
  </si>
  <si>
    <t>Glue ribs edge-to-edge on mold with reinforcing strips</t>
  </si>
  <si>
    <t>Rubber bands, clamps</t>
  </si>
  <si>
    <t>One half at a time; then join halves. Linen tape inside joints.</t>
  </si>
  <si>
    <t>Glue end clasps at neck and tail convergence points</t>
  </si>
  <si>
    <t>Clamps</t>
  </si>
  <si>
    <t>Critical structural joint; reinforce with epoxy</t>
  </si>
  <si>
    <t>Bookmatch, joint, and thickness spruce top to 2.5mm</t>
  </si>
  <si>
    <t>Straight grain, quartersawn preferred</t>
  </si>
  <si>
    <t>CNC or laser-cut rosette; inlay into soundhole area</t>
  </si>
  <si>
    <t>Laser cutter</t>
  </si>
  <si>
    <t>Traditional geometric pattern; Epilog laser is ideal</t>
  </si>
  <si>
    <t>Glue bracing bars to underside of soundboard</t>
  </si>
  <si>
    <t>Clamps, glue</t>
  </si>
  <si>
    <t>Fan or ladder pattern; trim to bowl edge profile</t>
  </si>
  <si>
    <t>Glue soundboard to bowl rim; clamp around perimeter</t>
  </si>
  <si>
    <t>Spool clamp</t>
  </si>
  <si>
    <t>Binding strip covers the joint</t>
  </si>
  <si>
    <t>Shape neck: short pegbox + dramatic backbend angle</t>
  </si>
  <si>
    <t>Band saw, files</t>
  </si>
  <si>
    <t>Oud pegbox angles back ~90°; lute angles ~80°</t>
  </si>
  <si>
    <t>Attach neck to bowl via mortise joint into end clasp</t>
  </si>
  <si>
    <t>Hand tools</t>
  </si>
  <si>
    <t>Tight fit critical for sustain and string action</t>
  </si>
  <si>
    <t>Fit friction pegs; drill peg holes through pegbox</t>
  </si>
  <si>
    <t>Drill press, reamer</t>
  </si>
  <si>
    <t>Taper ream for proper fit</t>
  </si>
  <si>
    <t>(Lute only) Tie gut frets at positions from fret calculator</t>
  </si>
  <si>
    <t>Use nylon fishing line or gut; tied around neck</t>
  </si>
  <si>
    <t>Shellac finish: 10-15 coats, rubbed between each</t>
  </si>
  <si>
    <t>Brush/pad</t>
  </si>
  <si>
    <t>Traditional; French polish technique for high gloss</t>
  </si>
  <si>
    <t>Glue bridge, fit nut, string up and tune</t>
  </si>
  <si>
    <t>Hand, tuner</t>
  </si>
  <si>
    <t>Allow 1 week for strings to stretch and settle</t>
  </si>
  <si>
    <t>1. This is Tony's first steam-bent project. Start with the lute (15 ribs, gentler curves) before attempting the oud (21 ribs, tighter tail radius).</t>
  </si>
  <si>
    <t>2. CNC mold is reusable — one mold per body shape. Route from MDF, stack 3-5 layers to full depth.</t>
  </si>
  <si>
    <t>3. Oud courses 1-2 exceed nylon breaking limit at 24.4" scale. Use fluorocarbon (σ_break ~80,000 psi) for treble courses.</t>
  </si>
  <si>
    <t>4. Oud is fretless — pitch is continuous (like violin). Lute uses tied gut frets that can be adjusted for temperament.</t>
  </si>
  <si>
    <t>5. Rosette can be CNC-routed or laser-cut from contrasting veneers. Epilog laser is ideal for the geometric patterns.</t>
  </si>
  <si>
    <t>6. Steam box: Can be as simple as a 4" PVC pipe with a wallpaper steamer. Ribs are thin (2.8mm) and bend quickly.</t>
  </si>
  <si>
    <t>7. Historically, oud ribs were bent over a hot pipe (dry bending). Steam is more forgiving for beginners.</t>
  </si>
  <si>
    <t>8. Lute variant: 8-course is standard Renaissance. Can extend to 10-13 courses for Baroque repertoire (add bass strings).</t>
  </si>
  <si>
    <t>9. The species bendability table above is a starting reference. Test-bend a sample rib from your stock before committing to the full set.</t>
  </si>
  <si>
    <t>Ngoni</t>
  </si>
  <si>
    <t>3 variants (Donso 6/Kamele 10/Kamele 14), segmented bowl, pentatonic D-F-G-A-C, 10-step build</t>
  </si>
  <si>
    <t>NGO-001</t>
  </si>
  <si>
    <t>Stave Lute-Oud</t>
  </si>
  <si>
    <t>Oud (11-str, fretless) + Lute (8-course, fretted), steam-bent ribs, CNC mold, fret calculator, bendability ref</t>
  </si>
  <si>
    <t>LUT-001</t>
  </si>
  <si>
    <t>Duntong — Cylindrical Tongue Drum (Original Design)</t>
  </si>
  <si>
    <t>Cantilever tongues around a cylinder body · Sealed / Ported / Drum-headed end options · Segmented / Stave / Split-blank construction</t>
  </si>
  <si>
    <t>Inventor: Tony Koop, 2026 · Physics: cantilever beam f = K × t / L² + Helmholtz resonator coupling</t>
  </si>
  <si>
    <t>Size Variant</t>
  </si>
  <si>
    <t>Handheld</t>
  </si>
  <si>
    <t>Medium</t>
  </si>
  <si>
    <t>Cylinder Outer Ø (in)</t>
  </si>
  <si>
    <t>Handheld fits in lap; Medium sits on floor/table</t>
  </si>
  <si>
    <t>Cylinder Length (in)</t>
  </si>
  <si>
    <t>Overall length including end caps</t>
  </si>
  <si>
    <t>← This IS the tongue thickness (t in f = K×t/L²)</t>
  </si>
  <si>
    <t>Width affects volume + sustain, NOT pitch</t>
  </si>
  <si>
    <t>Slit Width (in)</t>
  </si>
  <si>
    <t>1/8" kerf from upcut spiral bit</t>
  </si>
  <si>
    <t>K = 24,438 (cantilever). See material table below.</t>
  </si>
  <si>
    <t>K (cantilever, imperial)</t>
  </si>
  <si>
    <t>From Tongue Drum material library</t>
  </si>
  <si>
    <t>Pentatonic Minor</t>
  </si>
  <si>
    <t>8 notes: root + offsets (+3,+5,+7,+8,+10,+12,+15)</t>
  </si>
  <si>
    <t>Root Note (MIDI)</t>
  </si>
  <si>
    <t>72 = C5 (handheld); 60 = C4 (medium)</t>
  </si>
  <si>
    <t>Number of Tongues</t>
  </si>
  <si>
    <t>8 tongues = pentatonic + octave. Max limited by circumference.</t>
  </si>
  <si>
    <t>At 68°F</t>
  </si>
  <si>
    <t>END CONFIGURATION</t>
  </si>
  <si>
    <t>End A (Left)</t>
  </si>
  <si>
    <t>End B (Right)</t>
  </si>
  <si>
    <t>Config Option</t>
  </si>
  <si>
    <t>Solid wood</t>
  </si>
  <si>
    <t>Options: "Solid wood" / "Acoustic port" / "Goatskin" / "Synthetic head"</t>
  </si>
  <si>
    <t>Port Ø (if ported, in)</t>
  </si>
  <si>
    <t>Only applies if "Acoustic port" selected above</t>
  </si>
  <si>
    <t>TONGUE PHYSICS — Cantilever Beam on Cylinder Wall</t>
  </si>
  <si>
    <t>f = K × t / L² — same cantilever formula as flat tongue drum. Curvature negligible when tongue_width &lt;&lt; cylinder_Ø.</t>
  </si>
  <si>
    <t>Curvature adds slight stiffening (~2-5% higher pitch vs flat). Empirical correction needed from prototype testing.</t>
  </si>
  <si>
    <t>Formula / Notes</t>
  </si>
  <si>
    <t>Cylinder Inner Ø (in)</t>
  </si>
  <si>
    <t>= outer_Ø − 2 × wall</t>
  </si>
  <si>
    <t>Internal Volume (in³)</t>
  </si>
  <si>
    <t>= π × (ID/2)² × length</t>
  </si>
  <si>
    <t>Circumference (in)</t>
  </si>
  <si>
    <t>= π × Ø (outer)</t>
  </si>
  <si>
    <t>Max Tongues (fit check)</t>
  </si>
  <si>
    <t>= circumference / (tongue_width + slit_width). Practical max.</t>
  </si>
  <si>
    <t>Fit OK?</t>
  </si>
  <si>
    <t>Requested tongues ≤ max available slots</t>
  </si>
  <si>
    <t>Arc per Tongue (°)</t>
  </si>
  <si>
    <t>= 360 / num_tongues</t>
  </si>
  <si>
    <t>Curvature Ratio (tongue_W / Ø)</t>
  </si>
  <si>
    <t>≤ 20% → curvature effect negligible; &gt; 20% → need empirical correction</t>
  </si>
  <si>
    <t>Curvature Note</t>
  </si>
  <si>
    <t>If &gt;20%, tongues may ring ~2-5% sharp vs flat-surface prediction</t>
  </si>
  <si>
    <t>CYLINDER RESONANCE — 4 End Configurations</t>
  </si>
  <si>
    <t>Config</t>
  </si>
  <si>
    <t>Model</t>
  </si>
  <si>
    <t>Resonant Freq (Hz)</t>
  </si>
  <si>
    <t>Character</t>
  </si>
  <si>
    <t>Best For</t>
  </si>
  <si>
    <t>A. Both ends solid</t>
  </si>
  <si>
    <t>Helmholtz — tongue slits = neck opening</t>
  </si>
  <si>
    <t>Warm, focused, sustaining — resonance reinforces tongues</t>
  </si>
  <si>
    <t>Melodic tongue playing, meditation, ensemble</t>
  </si>
  <si>
    <t>B. One port + one solid</t>
  </si>
  <si>
    <t>Stopped pipe: f = c/(4×L)</t>
  </si>
  <si>
    <t>Deep bass projection from port; tongues add melody on top</t>
  </si>
  <si>
    <t>Bass-heavy, rhythmic, outdoor</t>
  </si>
  <si>
    <t>C. Two ports (both open)</t>
  </si>
  <si>
    <t>Open pipe: f = c/(2×L)</t>
  </si>
  <si>
    <t>Brightest body resonance; less bass than B</t>
  </si>
  <si>
    <t>Bright acoustic projection</t>
  </si>
  <si>
    <t>D. One/both drumheads</t>
  </si>
  <si>
    <t>Membrane + cantilever hybrid</t>
  </si>
  <si>
    <t>Percussive attack from head + pitched tongues — true hybrid drum</t>
  </si>
  <si>
    <t>Rhythm + melody; closest to dundun concept</t>
  </si>
  <si>
    <t>Resonance Calculations (Medium size shown)</t>
  </si>
  <si>
    <t>Config A — Helmholtz (sealed)</t>
  </si>
  <si>
    <t xml:space="preserve">  Total slit area (in²)</t>
  </si>
  <si>
    <t xml:space="preserve">  Effective neck length (in)</t>
  </si>
  <si>
    <t>= wall thickness (sound passes through wall at slit)</t>
  </si>
  <si>
    <t xml:space="preserve">  Helmholtz freq (Hz)</t>
  </si>
  <si>
    <t>f = (c/2π) × √(A_slit / (V_chamber × L_neck))</t>
  </si>
  <si>
    <t xml:space="preserve">  Coupling range (±20%)</t>
  </si>
  <si>
    <t>Tongues within this freq range will couple strongly with body</t>
  </si>
  <si>
    <t>Config B — Stopped Pipe (one port)</t>
  </si>
  <si>
    <t xml:space="preserve">  Pipe resonance (Hz)</t>
  </si>
  <si>
    <t>f = c / (4 × L). Deep fundamental.</t>
  </si>
  <si>
    <t xml:space="preserve">  2nd harmonic (Hz)</t>
  </si>
  <si>
    <t>Odd harmonics only (3×, 5×) — hollow character</t>
  </si>
  <si>
    <t>Config C — Open Pipe (two ports)</t>
  </si>
  <si>
    <t>f = c / (2 × L). One octave above stopped.</t>
  </si>
  <si>
    <t>All harmonics present (2×, 3×, 4×) — brighter</t>
  </si>
  <si>
    <t>TONGUE LAYOUT OPTIONS</t>
  </si>
  <si>
    <t>Layout</t>
  </si>
  <si>
    <t>Pros</t>
  </si>
  <si>
    <t>Cons</t>
  </si>
  <si>
    <t>CNC Notes</t>
  </si>
  <si>
    <t>1. Single Ring</t>
  </si>
  <si>
    <t>All tongues in one row around the equator (midpoint of cylinder). Scale arranged L→R or alternating (like standard tongue drum).</t>
  </si>
  <si>
    <t>Simplest to CNC (single Z-height). Easy to play flat or tilted. Natural hand position.</t>
  </si>
  <si>
    <t>Limited to notes that fit in circumference. All tongues same thickness.</t>
  </si>
  <si>
    <t>Single wrap-around toolpath. Index cylinder on rotary axis or use V-block jig + rotate.</t>
  </si>
  <si>
    <t>2. Spiral</t>
  </si>
  <si>
    <t>Tongues wrap helically up the cylinder. Scale ascends as you rotate — like a spiral staircase of pitches.</t>
  </si>
  <si>
    <t>More tongues fit (uses full cylinder length). Visual showpiece. Scale flows naturally.</t>
  </si>
  <si>
    <t>Harder to CNC (compound toolpath). Playing position less intuitive.</t>
  </si>
  <si>
    <t>Needs 4th-axis rotary OR flatten-and-mark approach. SolidWorks unwrap for layout.</t>
  </si>
  <si>
    <t>3. Multi-Band</t>
  </si>
  <si>
    <t>2-3 parallel rows of tongues at different heights. Each band could be a different octave or scale mode.</t>
  </si>
  <si>
    <t>Most notes possible. Can separate registers (bass ring, treble ring). Educational — visible octave relationship.</t>
  </si>
  <si>
    <t>Structurally weaker (many slits close together). Tongues between bands need reinforcement.</t>
  </si>
  <si>
    <t>Multiple pass toolpaths at different Z-heights. Ribs between bands must be ≥1".</t>
  </si>
  <si>
    <t>4. Staggered</t>
  </si>
  <si>
    <t>Two offset rows where tongues interleave (like brickwork). Bass tongues longer, treble shorter — naturally accommodates length variation.</t>
  </si>
  <si>
    <t>Efficient use of surface area. Long bass tongues span between short treble tongues. Balanced look.</t>
  </si>
  <si>
    <t>Complex CNC layout. Some structural considerations at tongue intersections.</t>
  </si>
  <si>
    <t>Careful CAD layout needed. Each tongue individually positioned. Best modeled in SolidWorks.</t>
  </si>
  <si>
    <t>CYLINDER CONSTRUCTION METHODS</t>
  </si>
  <si>
    <t>1. Segmented (Ring-Stack)</t>
  </si>
  <si>
    <t>Stack glued rings on lathe, same as Ashiko/Conga. Straight cylinder (no taper). Miter angle = 180/segments_per_ring.</t>
  </si>
  <si>
    <t>Decorative multi-wood patterns. Precise wall thickness from lathe. Proven technique (Tony has done 2 drums).</t>
  </si>
  <si>
    <t>Many cuts (e.g. 12 rings × 12 seg = 144 pcs). Slower. Requires lathe swing ≥ Ø.</t>
  </si>
  <si>
    <t>Medium size (12" fits on lathe). Showpiece instruments. Controlled wall uniformity.</t>
  </si>
  <si>
    <t>2. Stave (Vertical)</t>
  </si>
  <si>
    <t>Vertical staves glued edge-to-edge like a barrel. Same as Kora stave bowl option but cylindrical — straight taper = 0.</t>
  </si>
  <si>
    <t>Fast (12-16 pcs vs 144). Continuous grain along tongues — best for tone. Strong.</t>
  </si>
  <si>
    <t>Less decorative than segmented. Needs accurate miter angle on table saw.</t>
  </si>
  <si>
    <t>Best tonal quality (grain runs along tongue length). Quick builds. Both sizes.</t>
  </si>
  <si>
    <t>3. Split-Blank (Rip + Route)</t>
  </si>
  <si>
    <t>Rip solid turning blank in half, CNC-route cylindrical bore in each half, re-glue. Same as Didgeridoo method.</t>
  </si>
  <si>
    <t>Simplest construction. No segmenting or staving. Uniform grain.</t>
  </si>
  <si>
    <t>Limited to Ø ≤ turning blank size (~6-8" max). Wasteful — most wood becomes chips.</t>
  </si>
  <si>
    <t>Handheld size only. Quick prototype. Proof-of-concept builds.</t>
  </si>
  <si>
    <t>Segmented Ring Parameters</t>
  </si>
  <si>
    <t>← For Medium. Handheld: ~8 rings.</t>
  </si>
  <si>
    <t>= cylinder_length / num_rings</t>
  </si>
  <si>
    <t>S.E.L. (in)</t>
  </si>
  <si>
    <t>= π × outer_Ø / segments_per_ring</t>
  </si>
  <si>
    <t>Stave Parameters</t>
  </si>
  <si>
    <t>Stave Width (in)</t>
  </si>
  <si>
    <t>Stave Length (in)</t>
  </si>
  <si>
    <t>TONGUE DIMENSIONS — Pentatonic Minor (8 tongues, both sizes)</t>
  </si>
  <si>
    <t>Offset</t>
  </si>
  <si>
    <t>Handheld L (in)</t>
  </si>
  <si>
    <t>Medium L (in)</t>
  </si>
  <si>
    <t>Fits Cylinder?</t>
  </si>
  <si>
    <t>Hand Arc (°)</t>
  </si>
  <si>
    <t>Med Arc (°)</t>
  </si>
  <si>
    <t>Root</t>
  </si>
  <si>
    <t>BILL OF MATERIALS (Stave construction, Medium, sealed ends)</t>
  </si>
  <si>
    <t>Body</t>
  </si>
  <si>
    <t>Staves (or segment blanks)</t>
  </si>
  <si>
    <t>16" × 3.1" × 1.0" each (Padauk). ~8 bd ft total.</t>
  </si>
  <si>
    <t>End cap blanks (or drumheads)</t>
  </si>
  <si>
    <t>13" × 13" × 3/4" (if solid wood). Disc cut from plate or face-glued.</t>
  </si>
  <si>
    <t>Acoustic port tube (if ported)</t>
  </si>
  <si>
    <t>PVC or wood tube, 3" Ø × 1" length (= wall thickness)</t>
  </si>
  <si>
    <t>Head (opt)</t>
  </si>
  <si>
    <t>Goatskin rawhide (if drum-headed)</t>
  </si>
  <si>
    <t>16"+ diameter. Rope-tuned — need rope + tension rings.</t>
  </si>
  <si>
    <t>Synthetic head + hardware (if hardware-tuned)</t>
  </si>
  <si>
    <t>12" Remo or Evans. Need lugs, rods, hoops, bearing edge.</t>
  </si>
  <si>
    <t>CNC</t>
  </si>
  <si>
    <t>1/8" upcut spiral bit</t>
  </si>
  <si>
    <t>For tongue slit cutting. 0.125" kerf.</t>
  </si>
  <si>
    <t>Rubber feet / stand</t>
  </si>
  <si>
    <t>Floor/table bumpers or custom cradle stand</t>
  </si>
  <si>
    <t>Titebond III, 80-400 grit, tung oil or lacquer</t>
  </si>
  <si>
    <t>Rip staves on table saw at miter angle (15° for 12 staves)</t>
  </si>
  <si>
    <t>Same technique as Kora stave bowl. Straight taper = 0 (no bowl curve).</t>
  </si>
  <si>
    <t>Joint/plane staves to uniform thickness</t>
  </si>
  <si>
    <t>Critical: tongue pitch depends on wall thickness. ±0.005" tolerance.</t>
  </si>
  <si>
    <t>Glue-Up</t>
  </si>
  <si>
    <t>Glue staves into cylinder using band clamps or hose clamps</t>
  </si>
  <si>
    <t>Two halves approach: glue 6+6, then join halves. Check round with calipers.</t>
  </si>
  <si>
    <t>Turning</t>
  </si>
  <si>
    <t>Mount on lathe, true exterior to final Ø, bore interior to wall thickness</t>
  </si>
  <si>
    <t>Final wall = tongue thickness. Measure frequently with calipers.</t>
  </si>
  <si>
    <t>End Caps</t>
  </si>
  <si>
    <t>Turn/cut end discs from plate; glue into cylinder bore (or prep drum hardware)</t>
  </si>
  <si>
    <t>Lathe or band saw</t>
  </si>
  <si>
    <t>Rabbet joint: disc sits in a 1/4" recess inside cylinder. Sealed = glue. Port = drill before glue.</t>
  </si>
  <si>
    <t>Mark tongue positions on cylinder surface using SolidWorks unwrap template</t>
  </si>
  <si>
    <t>Laser template</t>
  </si>
  <si>
    <t>Print 1:1 scale wrap template. Tape around cylinder. Mark slit lines through template.</t>
  </si>
  <si>
    <t>CNC Slits</t>
  </si>
  <si>
    <t>Cut U-shaped tongue slits with 1/8" upcut spiral</t>
  </si>
  <si>
    <t>V-block jig on CNC bed. Cut one tongue, rotate, repeat. Or rotary 4th axis if available.</t>
  </si>
  <si>
    <t>Alternative: hand-cut slits with oscillating multi-tool or scroll saw</t>
  </si>
  <si>
    <t>Multi-tool</t>
  </si>
  <si>
    <t>Mark and cut carefully. Slower but no jig needed. Good for first prototype.</t>
  </si>
  <si>
    <t>Tune each tongue: shorten tip to raise pitch, thin base to lower pitch</t>
  </si>
  <si>
    <t>Dremel, file</t>
  </si>
  <si>
    <t>Start with tongues ~5% long (pitch flat). Remove material from tip to tune sharp.</t>
  </si>
  <si>
    <t>Verify all 8 tongues with chromatic tuner; iterate until within ±5 cents</t>
  </si>
  <si>
    <t>Same DoE tuning protocol as flat tongue drums. Record actual vs predicted.</t>
  </si>
  <si>
    <t>Install drumhead: goatskin (soak+stretch+rope) or synthetic (hardware mount)</t>
  </si>
  <si>
    <t>Rope or hardware</t>
  </si>
  <si>
    <t>Bearing edge must be smooth and level. Goatskin: ≥ 24h soak. Synthetic: standard drum hardware.</t>
  </si>
  <si>
    <t>Sand 80→400, apply 2-3 coats tung oil or lacquer</t>
  </si>
  <si>
    <t>Avoid finish on tongue surfaces if possible — it can dampen vibration slightly.</t>
  </si>
  <si>
    <t>Add rubber feet or build cradle stand for floor placement</t>
  </si>
  <si>
    <t>Cylinder needs support to not roll. Cradle stand or 3-point feet.</t>
  </si>
  <si>
    <t>1. ORIGINAL INSTRUMENT DESIGN by Tony Koop (2026). No known prior art for a cylindrical tongue drum with circumferential slit tongues.</t>
  </si>
  <si>
    <t>2. Curvature effect: At &lt;20% width/Ø ratio, flat cantilever formula is a good first approximation. Build a prototype and measure actual vs predicted.</t>
  </si>
  <si>
    <t>3. Helmholtz coupling (Config A, sealed): the body resonance (135 Hz for Medium) is below the lowest tongue (523 Hz). This means the body adds warmth but won't couple tightly. For coupling, use a lower root (e.g., C3 MIDI 48) or a smaller sealed volume.</t>
  </si>
  <si>
    <t>4. Config D (drumhead) is the true Duntong — closest to the dundun inspiration. Goatskin rope-tuned gives the most organic, West African character.</t>
  </si>
  <si>
    <t>5. Tongue layout recommendation for V1 prototype: Single Ring around equator. Simplest to build, easiest to play, proves the concept.</t>
  </si>
  <si>
    <t>6. The cylinder shape gives 360° of playing surface — two players can sit opposite each other and play simultaneously. Social instrument.</t>
  </si>
  <si>
    <t>7. Stave construction recommended for V1: continuous grain along tongue = best sustain and tone. Segmented is a V2 showpiece option.</t>
  </si>
  <si>
    <t>8. CNC jig: V-block cradle clamped to ShopBot bed. Router approaches from above for each slit. Rotate cylinder between tongues.</t>
  </si>
  <si>
    <t>9. Potential enhancement: different wall thicknesses per tongue zone (thicker = lower K, thinner = higher). Would need CNC interior profiling.</t>
  </si>
  <si>
    <t>10. Material K values from Tongue Drum sheet apply directly. Padauk (K=24,438) recommended for first build — proven tonal quality.</t>
  </si>
  <si>
    <t>11. DoE plan: Build 3 prototypes — (A) sealed stave, (B) one port stave, (C) one goatskin stave. Compare volume, sustain, and timbre. Record data.</t>
  </si>
  <si>
    <t>12. Future: CNC-routed decorative patterns in the non-tongue areas of the cylinder surface (like Ashiko diamond pattern but cylindrical).</t>
  </si>
  <si>
    <t>ORIGINAL DESIGNS (Claude + Tony)</t>
  </si>
  <si>
    <t>Duntong</t>
  </si>
  <si>
    <t>ORIGINAL — Cylindrical tongue drum, 4 end configs, 4 layouts, 3 construction methods, 8-note pentatonic, 2 sizes, 13-step build</t>
  </si>
  <si>
    <t>DUN-001</t>
  </si>
  <si>
    <t>Handpan / Hang Drum — Clamped Steel Plate + Helmholtz Resonator</t>
  </si>
  <si>
    <t>Steel Idiophone · Nitrided or Stainless Steel · Ding + 8 Tone Fields · Gu Port (Helmholtz Bass) · Hand-Tuned Harmonics</t>
  </si>
  <si>
    <t>Shell Diameter (in)</t>
  </si>
  <si>
    <t>← 53 cm standard; original Hang = 52 cm (20.5"); range 18–24"</t>
  </si>
  <si>
    <t>Shell Height (in)</t>
  </si>
  <si>
    <t>← 8–10" typical; deeper = more bass resonance</t>
  </si>
  <si>
    <t>Steel Thickness (mm)</t>
  </si>
  <si>
    <t>← 0.8–1.2 mm; thinner = easier to shape, higher pitch tendency</t>
  </si>
  <si>
    <t>Gu Port Diameter (in)</t>
  </si>
  <si>
    <t>← 3–4.5"; larger = lower Helmholtz bass</t>
  </si>
  <si>
    <t>Gu Port Depth (in)</t>
  </si>
  <si>
    <t>← Rolled lip depth (neck length for Helmholtz calc)</t>
  </si>
  <si>
    <t>Nitrided DC04</t>
  </si>
  <si>
    <t>← DC04 (nitrided) | 430 Stainless | Ember Steel</t>
  </si>
  <si>
    <t>Tuning Standard (Hz)</t>
  </si>
  <si>
    <t>← 440 Hz standard; some makers use 432 Hz</t>
  </si>
  <si>
    <t>Number of Tone Fields</t>
  </si>
  <si>
    <t>← Ding (center) + 8 surrounding; range 7–17</t>
  </si>
  <si>
    <t>Selected Scale</t>
  </si>
  <si>
    <t>D Kurd</t>
  </si>
  <si>
    <t>← Choose from Scale Library below (row 30+)</t>
  </si>
  <si>
    <t>GU BASS — Helmholtz Resonator: f = (c/2π)√(A / (V × L))</t>
  </si>
  <si>
    <t>← At 68°F / 20°C</t>
  </si>
  <si>
    <t>Gu Port Area (in²)</t>
  </si>
  <si>
    <t>← A = π × (port_Ø/2)²</t>
  </si>
  <si>
    <t>Shell Internal Volume (in³)</t>
  </si>
  <si>
    <t>Gu Neck Length (in)</t>
  </si>
  <si>
    <t>← Physical depth + end correction (0.6 × radius)</t>
  </si>
  <si>
    <t>Helmholtz Frequency (Hz)</t>
  </si>
  <si>
    <t>Nearest Note</t>
  </si>
  <si>
    <t>← Typical handpan Gu bass range: C2–G2</t>
  </si>
  <si>
    <t>Cents Deviation</t>
  </si>
  <si>
    <t>← + sharp / − flat from nearest ET note</t>
  </si>
  <si>
    <t>← V ≈ ⁴⁄₃πr²h (lenticular shell: 2 oblate spheroid halves)</t>
  </si>
  <si>
    <t>SCALE LIBRARY — Popular Handpan Tunings (Ding + 8 Tone Fields)</t>
  </si>
  <si>
    <t>Scale Name</t>
  </si>
  <si>
    <t>Mood</t>
  </si>
  <si>
    <t>Ding</t>
  </si>
  <si>
    <t>Versatile minor</t>
  </si>
  <si>
    <t>D Celtic Minor</t>
  </si>
  <si>
    <t>Open, spacious</t>
  </si>
  <si>
    <t>C# Pygmy</t>
  </si>
  <si>
    <t>Dreamy, grounding</t>
  </si>
  <si>
    <t>E Hijaz</t>
  </si>
  <si>
    <t>Exotic, Middle Eastern</t>
  </si>
  <si>
    <t>D Equinox</t>
  </si>
  <si>
    <t>Meditative, floating</t>
  </si>
  <si>
    <t>F Sabye</t>
  </si>
  <si>
    <t>Happy, uplifting</t>
  </si>
  <si>
    <t>E Akebono</t>
  </si>
  <si>
    <t>Zen, contemplative</t>
  </si>
  <si>
    <t>D Aeolian</t>
  </si>
  <si>
    <t>Full natural minor</t>
  </si>
  <si>
    <t>← Copy your chosen scale’s notes to the Tone Field Calculator below</t>
  </si>
  <si>
    <t>TONE FIELD CALCULATOR — 9-Note Layout (Ding + 8 Fields)</t>
  </si>
  <si>
    <t>Field</t>
  </si>
  <si>
    <t>Note Name</t>
  </si>
  <si>
    <t>Octave (Hz)</t>
  </si>
  <si>
    <t>Compound 5th (Hz)</t>
  </si>
  <si>
    <t>Position</t>
  </si>
  <si>
    <t>Clock Pos</t>
  </si>
  <si>
    <t>Est. Field Width (in)</t>
  </si>
  <si>
    <t>Est. Field Height (in)</t>
  </si>
  <si>
    <t>Ding (center)</t>
  </si>
  <si>
    <t>Center</t>
  </si>
  <si>
    <t>—</t>
  </si>
  <si>
    <t>Field 1 (lowest)</t>
  </si>
  <si>
    <t>Bottom-Left</t>
  </si>
  <si>
    <t>Field 2</t>
  </si>
  <si>
    <t>Bottom-Right</t>
  </si>
  <si>
    <t>Field 3</t>
  </si>
  <si>
    <t>Mid-Left</t>
  </si>
  <si>
    <t>Field 4</t>
  </si>
  <si>
    <t>Mid-Right</t>
  </si>
  <si>
    <t>Field 5</t>
  </si>
  <si>
    <t>Upper-Left</t>
  </si>
  <si>
    <t>Field 6</t>
  </si>
  <si>
    <t>Upper-Right</t>
  </si>
  <si>
    <t>Field 7</t>
  </si>
  <si>
    <t>Top-Left</t>
  </si>
  <si>
    <t>Field 8 (highest)</t>
  </si>
  <si>
    <t>Top-Right</t>
  </si>
  <si>
    <t>Dome (convex)</t>
  </si>
  <si>
    <t>Dimple (concave)</t>
  </si>
  <si>
    <t>SHELL FORMING METHODS</t>
  </si>
  <si>
    <t>Equipment</t>
  </si>
  <si>
    <t>Hand Sinking</t>
  </si>
  <si>
    <t>Deep Drawing</t>
  </si>
  <si>
    <t>Hydroforming</t>
  </si>
  <si>
    <t>Hydroform press, mold</t>
  </si>
  <si>
    <t>STEEL &amp; NITRIDING</t>
  </si>
  <si>
    <t>Raw Material</t>
  </si>
  <si>
    <t>DC04 low-carbon steel (most common) or 430/301 stainless steel</t>
  </si>
  <si>
    <t>Sheet Thickness</t>
  </si>
  <si>
    <t>Feasibility</t>
  </si>
  <si>
    <t>Hammer flat disc into concave form over sandbag/tire</t>
  </si>
  <si>
    <t>Ball peen hammer, sandbag, pneumatic hammer</t>
  </si>
  <si>
    <t>Lowest cost; most traditional</t>
  </si>
  <si>
    <t>Very slow; inconsistent thickness</t>
  </si>
  <si>
    <t>✅ Home shop</t>
  </si>
  <si>
    <t>Spinning</t>
  </si>
  <si>
    <t>Clamp disc on lathe, press forming tool as disc spins</t>
  </si>
  <si>
    <t>Metal lathe 22"+ swing, buck tool</t>
  </si>
  <si>
    <t>More uniform; repeatable</t>
  </si>
  <si>
    <t>Needs large lathe</t>
  </si>
  <si>
    <t>⚠️ Lathe too small</t>
  </si>
  <si>
    <t>Hydraulic press pushes disc through die in one stroke</t>
  </si>
  <si>
    <t>Hydraulic press + die, OR buy pre-drawn shells</t>
  </si>
  <si>
    <t>Most consistent; buy shells $150-300/pair</t>
  </si>
  <si>
    <t>Die set expensive</t>
  </si>
  <si>
    <t>✅ Buy shells (recommended)</t>
  </si>
  <si>
    <t>Water pressure pushes disc through mold</t>
  </si>
  <si>
    <t>Excellent uniformity</t>
  </si>
  <si>
    <t>Industrial only</t>
  </si>
  <si>
    <t>❌ Not feasible</t>
  </si>
  <si>
    <t>0.8-1.2 mm (1.0 mm standard)</t>
  </si>
  <si>
    <t>Flat Disc Diameter</t>
  </si>
  <si>
    <t>~24 in (shell diam x 1.15 for draw overshoot)</t>
  </si>
  <si>
    <t>Gas Nitriding</t>
  </si>
  <si>
    <t>500-550C in nitrogen atmosphere; hardens surface, ceramic tap tone</t>
  </si>
  <si>
    <t>Outsource to nitriding facility</t>
  </si>
  <si>
    <t>Nitriding Effect</t>
  </si>
  <si>
    <t>Vickers ~1000 HV; tuning stability; darker color; rust resistance</t>
  </si>
  <si>
    <t>Spec / Dimensions</t>
  </si>
  <si>
    <t>Pre-drawn steel shells (pair)</t>
  </si>
  <si>
    <t>53cm / 21 in diam, 1.0mm DC04 or stainless</t>
  </si>
  <si>
    <t>Ayasa Instruments, Shellopan, or similar supplier</t>
  </si>
  <si>
    <t>$150-300</t>
  </si>
  <si>
    <t>Gas nitriding service</t>
  </si>
  <si>
    <t>500-550C nitrogen heat treatment (both shells)</t>
  </si>
  <si>
    <t>Local nitriding facility; skip if using stainless</t>
  </si>
  <si>
    <t>$50-150</t>
  </si>
  <si>
    <t>Tuning ring / clamping frame</t>
  </si>
  <si>
    <t>Steel ring to hold shell during tuning</t>
  </si>
  <si>
    <t>CNC cut from 1/4 in steel plate, or weld from flat bar</t>
  </si>
  <si>
    <t>$30-80</t>
  </si>
  <si>
    <t>Tuning hammers (set)</t>
  </si>
  <si>
    <t>Small cross-peen, ball peen, rubber mallet</t>
  </si>
  <si>
    <t>Modified jeweler's hammers; 4-8 oz heads</t>
  </si>
  <si>
    <t>$40-80</t>
  </si>
  <si>
    <t>Dimple press / ball form</t>
  </si>
  <si>
    <t>Hardened steel ball + receiver die for dimple pressing</t>
  </si>
  <si>
    <t>Can use arbor press with ball bearing; or hammer by hand</t>
  </si>
  <si>
    <t>$20-50</t>
  </si>
  <si>
    <t>Chromatic tuner + spectrum analyzer</t>
  </si>
  <si>
    <t>Peterson StroboClip or software (SpectraPLUS, Audacity FFT)</t>
  </si>
  <si>
    <t>Need to see fundamental + overtones separately</t>
  </si>
  <si>
    <t>$30-100</t>
  </si>
  <si>
    <t>Shell adhesive (epoxy)</t>
  </si>
  <si>
    <t>High-strength, flexible epoxy (3M DP420 or similar)</t>
  </si>
  <si>
    <t>Must remain slightly flexible; rigid epoxy cracks</t>
  </si>
  <si>
    <t>$20-40</t>
  </si>
  <si>
    <t>Gu port ring (rubber)</t>
  </si>
  <si>
    <t>3.5 in ID rubber O-ring or silicone edge trim</t>
  </si>
  <si>
    <t>Protects Gu edge; improves Helmholtz tone</t>
  </si>
  <si>
    <t>$5-15</t>
  </si>
  <si>
    <t>Protective oil / sealant</t>
  </si>
  <si>
    <t>Phoenix Oil, Frog Lube, or food-grade mineral oil</t>
  </si>
  <si>
    <t>Apply after each playing session (nitrided only)</t>
  </si>
  <si>
    <t>$10-20</t>
  </si>
  <si>
    <t>Padded case / bag</t>
  </si>
  <si>
    <t>22 in soft case or hard shell case</t>
  </si>
  <si>
    <t>Essential for transport and storage</t>
  </si>
  <si>
    <t>$40-100</t>
  </si>
  <si>
    <t>ESTIMATED TOTAL</t>
  </si>
  <si>
    <t>$395-935</t>
  </si>
  <si>
    <t>Tools</t>
  </si>
  <si>
    <t>Key Parameters</t>
  </si>
  <si>
    <t>Done?</t>
  </si>
  <si>
    <t>Shell Prep</t>
  </si>
  <si>
    <t>Acquire or form two hemisphere shells</t>
  </si>
  <si>
    <t>Supplier / hydraulic press</t>
  </si>
  <si>
    <t>Match top + bottom shells; verify diameter and depth</t>
  </si>
  <si>
    <t>Cut Gu port hole in bottom shell</t>
  </si>
  <si>
    <t>Hole saw, deburr tool</t>
  </si>
  <si>
    <t>3.5 in diameter; center carefully; roll edge inward</t>
  </si>
  <si>
    <t>Nitriding</t>
  </si>
  <si>
    <t>Send both shells to nitriding facility</t>
  </si>
  <si>
    <t>Outsource</t>
  </si>
  <si>
    <t>500-550C gas nitriding; skip if stainless steel</t>
  </si>
  <si>
    <t>Mark Ding center and 8 tone field positions on top shell</t>
  </si>
  <si>
    <t>Template, marker, compass</t>
  </si>
  <si>
    <t>Zigzag L-R layout ascending; use clock positions from table above</t>
  </si>
  <si>
    <t>Mark tone field oval boundaries with templates</t>
  </si>
  <si>
    <t>Oval templates (laser-cut acrylic)</t>
  </si>
  <si>
    <t>Use estimated field sizes from calculator; larger fields at bottom</t>
  </si>
  <si>
    <t>Forming</t>
  </si>
  <si>
    <t>Press or hammer dimples into each tone field center</t>
  </si>
  <si>
    <t>Dimple press / ball form / hammer</t>
  </si>
  <si>
    <t>Concave dimples for fields; convex dome for Ding</t>
  </si>
  <si>
    <t>Pre-Stress</t>
  </si>
  <si>
    <t>Pre-stress tone fields by hammering around perimeters</t>
  </si>
  <si>
    <t>Cross-peen hammer</t>
  </si>
  <si>
    <t>Compress metal around each note to isolate vibrations</t>
  </si>
  <si>
    <t>Heat Treat</t>
  </si>
  <si>
    <t>Heat shell with torch to relieve forming stresses</t>
  </si>
  <si>
    <t>Propane/MAP torch</t>
  </si>
  <si>
    <t>Heat until blue-purple (300-350C); let cool naturally</t>
  </si>
  <si>
    <t>Tune Ding fundamental first</t>
  </si>
  <si>
    <t>Tuning hammer, chromatic tuner</t>
  </si>
  <si>
    <t>Center of Ding raises pitch; surrounding area lowers it</t>
  </si>
  <si>
    <t>Tune each tone field fundamental (1 of 3 per field)</t>
  </si>
  <si>
    <t>Tuning hammer, spectrum analyzer</t>
  </si>
  <si>
    <t>Work from lowest (Field 1) to highest (Field 8)</t>
  </si>
  <si>
    <t>Tune octave harmonic on each field (2 of 3)</t>
  </si>
  <si>
    <t>Tuning hammer, FFT analyzer</t>
  </si>
  <si>
    <t>Shape the field into two perpendicular axes (Pringle shape)</t>
  </si>
  <si>
    <t>Tune compound 5th harmonic on each field (3 of 3)</t>
  </si>
  <si>
    <t>Verify all 3 partials in tune; check isolation from neighbors</t>
  </si>
  <si>
    <t>Glue top and bottom shells together</t>
  </si>
  <si>
    <t>Flexible epoxy, clamps, alignment jig</t>
  </si>
  <si>
    <t>Apply even bead around rim; clamp firmly; cure 24+ hours</t>
  </si>
  <si>
    <t>Fine Tune</t>
  </si>
  <si>
    <t>Let settle 1-2 weeks, then re-tune through Gu port</t>
  </si>
  <si>
    <t>Tuning hammer (reach through Gu)</t>
  </si>
  <si>
    <t>Steel has memory; re-check all 27 partials (9 fields x 3)</t>
  </si>
  <si>
    <t>Repeat settle + retune cycle 2-3 more times</t>
  </si>
  <si>
    <t>Same</t>
  </si>
  <si>
    <t>Each cycle: wait 1-2 weeks, retune. Tuning becomes more stable</t>
  </si>
  <si>
    <t>Clean, polish, apply protective oil; install Gu ring</t>
  </si>
  <si>
    <t>Microfiber cloth, oil, rubber ring</t>
  </si>
  <si>
    <t>Remove glue residue; oil nitrided surface; trim Gu edge</t>
  </si>
  <si>
    <t>1. TUNING IS THE HARDEST PART. Expect months of practice before producing a playable instrument. Start with a practice shell.</t>
  </si>
  <si>
    <t>2. Each tone field has 3 tuned partials: fundamental, octave (+12 semitones), compound 5th (+19 semitones). All 3 must be in tune.</t>
  </si>
  <si>
    <t>3. Tone field shape: think two Pringles stacked perpendicular. The two axes of the oval each vibrate at different frequencies.</t>
  </si>
  <si>
    <t>4. Center of field raises pitch; hammering edges lowers pitch. Work incrementally — over-hammering is very hard to undo.</t>
  </si>
  <si>
    <t>5. Wave interference: certain frequencies resonate with the shell cavity and create buzzing. The Helmholtz Gu frequency is key — avoid tuning any field to that frequency.</t>
  </si>
  <si>
    <t>6. Pre-drawn shells from Ayasa or similar are STRONGLY recommended for first build. Hand-sinking requires enormous practice.</t>
  </si>
  <si>
    <t>7. Nitriding is optional if using stainless steel. Stainless has longer sustain, warmer tone, no rust; nitrided has crisper attack, ceramic tap.</t>
  </si>
  <si>
    <t>8. The Gu port size controls the Helmholtz bass note. Larger port = higher bass; smaller = lower. Use the calculator above to estimate.</t>
  </si>
  <si>
    <t>9. Typical handpan costs $1,500-$3,500 retail. Building your own for $400-900 in materials is a massive savings — but the skill investment is significant.</t>
  </si>
  <si>
    <t>10. Unlike your wood instruments, this is ALL about metal shaping and ear training. No CNC, no lathe, no glue-ups — just hammer, fire, and patience.</t>
  </si>
  <si>
    <t>PERCUSSION — STEEL (Claude-Built)</t>
  </si>
  <si>
    <t>Handpan</t>
  </si>
  <si>
    <t>Hang/Handpan: Helmholtz Gu, 8 scale library, 9-note tone field calc with harmonics, shell forming, 16-step build</t>
  </si>
  <si>
    <t>HAN-001</t>
  </si>
  <si>
    <t>Steel Tongue Drum — Cantilever Beam + Helmholtz Cavity</t>
  </si>
  <si>
    <t>Lenticular steel shell with CNC/laser-cut tongues · Same f = K×t/L² physics as wood tongue drum · Enclosed shell adds Helmholtz resonance</t>
  </si>
  <si>
    <t>← 6-14" typical; 12" is standard</t>
  </si>
  <si>
    <t>← Total height of both halves glued together</t>
  </si>
  <si>
    <t>Steel Thickness (in)</t>
  </si>
  <si>
    <t>← 2mm (14 ga); 1.5-3mm range</t>
  </si>
  <si>
    <t>Slit Kerf Width (in)</t>
  </si>
  <si>
    <t>← Laser=0.01", Plasma=0.04"</t>
  </si>
  <si>
    <t>← 8-15 typical; 11 or 13 for pentatonic + octave</t>
  </si>
  <si>
    <t>← Width does NOT affect pitch (L² dominant)</t>
  </si>
  <si>
    <t>Steel Type</t>
  </si>
  <si>
    <t>Carbon Steel</t>
  </si>
  <si>
    <t>← Carbon, 304 Stainless, or 430 Stainless</t>
  </si>
  <si>
    <t>Sound Port Diameter (in)</t>
  </si>
  <si>
    <t>← Bottom center hole; 2-3" typical</t>
  </si>
  <si>
    <t>Reference Pitch (Hz)</t>
  </si>
  <si>
    <t>Scale Selection</t>
  </si>
  <si>
    <t>← See Scale Library below</t>
  </si>
  <si>
    <t>STEEL MATERIAL LIBRARY — Cantilever K Constants</t>
  </si>
  <si>
    <t>Tone Character</t>
  </si>
  <si>
    <t>Rust?</t>
  </si>
  <si>
    <t>Cut Method</t>
  </si>
  <si>
    <t>Carbon Steel (1018/1020)</t>
  </si>
  <si>
    <t>Warm, rich sustain; traditional</t>
  </si>
  <si>
    <t>Yes — needs coating</t>
  </si>
  <si>
    <t>Laser, plasma, or CNC</t>
  </si>
  <si>
    <t>304 Stainless Steel</t>
  </si>
  <si>
    <t>Bright, bell-like; long sustain</t>
  </si>
  <si>
    <t>Laser or CNC (hard on plasma)</t>
  </si>
  <si>
    <t>430 Stainless Steel</t>
  </si>
  <si>
    <t>Balanced; good tuning stability</t>
  </si>
  <si>
    <t>Laser or CNC</t>
  </si>
  <si>
    <t>Spring Steel (1095)</t>
  </si>
  <si>
    <t>Crisp, clear; excellent sustain</t>
  </si>
  <si>
    <t>Laser only (too hard for CNC)</t>
  </si>
  <si>
    <t>Corten / Weathering Steel</t>
  </si>
  <si>
    <t>Warm; develops patina; artistic</t>
  </si>
  <si>
    <t>Controlled rust (patina)</t>
  </si>
  <si>
    <t>Laser or plasma</t>
  </si>
  <si>
    <t>← K = (1.875²/2π)×√(E/(12ρ))/0.0254 — same Euler-Bernoulli as wood Tongue Drum sheet</t>
  </si>
  <si>
    <t>Selected Steel K:</t>
  </si>
  <si>
    <t>HELMHOLTZ CAVITY RESONANCE</t>
  </si>
  <si>
    <t>Chamber Volume (in³)</t>
  </si>
  <si>
    <t>Port Area (in²)</t>
  </si>
  <si>
    <t>Effective Neck Length (in)</t>
  </si>
  <si>
    <t>Helmholtz Freq (Hz)</t>
  </si>
  <si>
    <t>← Helmholtz bass fills in below the lowest tongue — play by cupping/uncupping the port</t>
  </si>
  <si>
    <t>SCALE LIBRARY — Common Steel Tongue Drum Tunings</t>
  </si>
  <si>
    <t>Notes (11-note)</t>
  </si>
  <si>
    <t>D Kurd (Aeolian)</t>
  </si>
  <si>
    <t>D3 A3 Bb3 C4 D4 E4 F4 G4 A4 Bb4 C5</t>
  </si>
  <si>
    <t>D3 A3 C4 D4 E4 F4 G4 A4 C5 D5 E5</t>
  </si>
  <si>
    <t>C Major (Ionian)</t>
  </si>
  <si>
    <t>C3 G3 A3 B3 C4 D4 E4 F4 G4 A4 C5</t>
  </si>
  <si>
    <t>Bright, joyful</t>
  </si>
  <si>
    <t>D Akebono</t>
  </si>
  <si>
    <t>D3 A3 Bb3 D4 E4 A4 Bb4 D5 E5 A5 Bb5</t>
  </si>
  <si>
    <t>Zen, Japanese</t>
  </si>
  <si>
    <t>C#3 G#3 B3 C#4 D#4 G#4 B4 C#5 D#5 G#5 B5</t>
  </si>
  <si>
    <t>E3 B3 C4 D#4 E4 F4 G#4 A4 B4 C5 E5</t>
  </si>
  <si>
    <t>Pentatonic G Major</t>
  </si>
  <si>
    <t>G3 A3 B3 D4 E4 G4 A4 B4 D5 E5 G5</t>
  </si>
  <si>
    <t>Universally pleasant</t>
  </si>
  <si>
    <t>Pentatonic A Minor</t>
  </si>
  <si>
    <t>A3 C4 D4 E4 G4 A4 C5 D5 E5 G5 A5</t>
  </si>
  <si>
    <t>Meditative, calming</t>
  </si>
  <si>
    <t>TONGUE LENGTH CALCULATOR — Cantilever: f = K × t / L² → L = √(K × t / f)</t>
  </si>
  <si>
    <t>← Width affects volume/sustain but NOT frequency. Length is dominant (L² in denominator).</t>
  </si>
  <si>
    <t>Slit Total (in)</t>
  </si>
  <si>
    <t>Fits?</t>
  </si>
  <si>
    <t>Steel tank / propane tank</t>
  </si>
  <si>
    <t>12 in diam, ~2mm wall, carbon or stainless</t>
  </si>
  <si>
    <t>Empty propane tank (most common), or buy pre-drawn shells</t>
  </si>
  <si>
    <t>$15-50</t>
  </si>
  <si>
    <t>Angle grinder + cut-off disc</t>
  </si>
  <si>
    <t>4.5 in grinder, thin cut-off wheel (1mm)</t>
  </si>
  <si>
    <t>For cutting tank open and rough tongue cuts</t>
  </si>
  <si>
    <t>$30-60</t>
  </si>
  <si>
    <t>Jigsaw with metal blade</t>
  </si>
  <si>
    <t>OR plasma cutter, OR Dremel with cut-off wheel</t>
  </si>
  <si>
    <t>For precise tongue slit cuts; laser cut if available</t>
  </si>
  <si>
    <t>Files + deburring tools</t>
  </si>
  <si>
    <t>Flat file, half-round, needle files</t>
  </si>
  <si>
    <t>Smooth all cut edges; critical for tone quality</t>
  </si>
  <si>
    <t>$15-30</t>
  </si>
  <si>
    <t>Peterson StroboClip or Audacity FFT</t>
  </si>
  <si>
    <t>Same as handpan tuning setup</t>
  </si>
  <si>
    <t>Magnets (tongue weights)</t>
  </si>
  <si>
    <t>Small neodymium magnets, various sizes</t>
  </si>
  <si>
    <t>Stick to underside of tongue to lower pitch for fine-tuning</t>
  </si>
  <si>
    <t>Rubber feet / pads</t>
  </si>
  <si>
    <t>Adhesive rubber bumpers</t>
  </si>
  <si>
    <t>Isolate drum from surface; improve resonance</t>
  </si>
  <si>
    <t>$5-10</t>
  </si>
  <si>
    <t>Paint / finish</t>
  </si>
  <si>
    <t>High-temp spray paint or patina finish</t>
  </si>
  <si>
    <t>Rust protection for carbon steel; decorative for stainless</t>
  </si>
  <si>
    <t>$130-335</t>
  </si>
  <si>
    <t>Acquire tank; remove valve; clean inside</t>
  </si>
  <si>
    <t>Wrench, soap/water flush</t>
  </si>
  <si>
    <t>SAFETY: ensure tank is completely empty and purged of gas</t>
  </si>
  <si>
    <t>Cut tank in half at equator (top = playing surface)</t>
  </si>
  <si>
    <t>Angle grinder</t>
  </si>
  <si>
    <t>Mark line with tape; cut slowly; deburr edge</t>
  </si>
  <si>
    <t>Weld or glue halves back with ~6 in gap (height)</t>
  </si>
  <si>
    <t>MIG welder or epoxy</t>
  </si>
  <si>
    <t>Or use two matching tanks for desired height</t>
  </si>
  <si>
    <t>Mark tongue pattern on top shell from center outward</t>
  </si>
  <si>
    <t>Template, compass, marker</t>
  </si>
  <si>
    <t>Use laser-cut acrylic template from calculator dimensions</t>
  </si>
  <si>
    <t>Cutting</t>
  </si>
  <si>
    <t>Cut tongue slits using jigsaw or plasma cutter</t>
  </si>
  <si>
    <t>Jigsaw (metal blade), OR plasma, OR laser</t>
  </si>
  <si>
    <t>Cut slightly short; file to final length for pitch adjustment</t>
  </si>
  <si>
    <t>Deburr and smooth all cut edges</t>
  </si>
  <si>
    <t>Files, sandpaper, Dremel</t>
  </si>
  <si>
    <t>Smooth edges critical for clean tone and finger safety</t>
  </si>
  <si>
    <t>Check pitch of each tongue with tuner</t>
  </si>
  <si>
    <t>Tongues will be SHARP initially (too short = too high)</t>
  </si>
  <si>
    <t>File tip of tongue to LOWER pitch (lengthen effective beam)</t>
  </si>
  <si>
    <t>Flat file, needle file</t>
  </si>
  <si>
    <t>Thinning the tip = lower freq. Shortening = higher freq.</t>
  </si>
  <si>
    <t>Add magnets to underside for fine-tuning (lower pitch)</t>
  </si>
  <si>
    <t>Neodymium magnets</t>
  </si>
  <si>
    <t>Magnets add mass to tongue tip; easy to adjust</t>
  </si>
  <si>
    <t>Port</t>
  </si>
  <si>
    <t>Cut or verify Gu sound port in bottom shell</t>
  </si>
  <si>
    <t>Hole saw</t>
  </si>
  <si>
    <t>2.5 in port; affects Helmholtz bass and sustain</t>
  </si>
  <si>
    <t>Clean, paint/seal, add rubber feet</t>
  </si>
  <si>
    <t>Spray paint, rubber pads</t>
  </si>
  <si>
    <t>High-temp paint for carbon steel; patina or polish for stainless</t>
  </si>
  <si>
    <t>Final tuning check after finish has cured</t>
  </si>
  <si>
    <t>Paint adds slight mass; re-check all tongues</t>
  </si>
  <si>
    <t>1. Same cantilever beam physics as your wood Tongue Drum sheet, but with steel K constants (~32,000 vs ~25,000-29,000 for wood).</t>
  </si>
  <si>
    <t>2. Steel tongues are shorter than wood for same note because steel has higher K (stiffer material, similar density).</t>
  </si>
  <si>
    <t>3. The enclosed shell acts as a Helmholtz resonator — this is what gives the singing sustain that open-back wood tongue drums lack.</t>
  </si>
  <si>
    <t>4. WIDTH does NOT affect pitch (only volume/sustain). Wider tongues = louder, more sustain. Narrower = quieter, quicker decay.</t>
  </si>
  <si>
    <t>5. Tongue tip filing is the primary tuning method: thinning the tip lowers pitch. NEVER shorten a tongue to raise pitch — you can't add metal back.</t>
  </si>
  <si>
    <t>6. Neodymium magnets on tongue underside are the secret weapon for fine-tuning. Easy to add/remove, reversible.</t>
  </si>
  <si>
    <t>7. Laser cutting tongue slits (Epilog at Maker Nexus) gives cleanest cuts and most accurate dimensions. Jigsaw is backup.</t>
  </si>
  <si>
    <t>8. Propane tanks are the most popular DIY shell. Standard 20lb tank is ~12 in diam. Larger tanks (14-16 in) allow lower notes.</t>
  </si>
  <si>
    <t>9. Unlike handpan, NO multi-partial tuning needed — each tongue produces one clean fundamental. Much easier first steel project.</t>
  </si>
  <si>
    <t>10. The photo shows a commercial 13-tongue drum. Start with 8-11 tongues for your first build; add more as you gain experience.</t>
  </si>
  <si>
    <t>Wood Shell Tongue Drum — Hybrid: Wooden Bowl + Cantilever Tongues + Helmholtz Resonance</t>
  </si>
  <si>
    <t>Combines segmented/stave bowl construction with flat tonewood soundboard · CNC-cut tongue slits · Enclosed chamber for Helmholtz sustain</t>
  </si>
  <si>
    <t>SHARED DESIGN INPUTS</t>
  </si>
  <si>
    <t>Shell Outer Diameter (in)</t>
  </si>
  <si>
    <t>≈ 30 cm; matches common tongue drum size</t>
  </si>
  <si>
    <t>Shell Height / Depth (in)</t>
  </si>
  <si>
    <t>Bowl depth below soundboard rim</t>
  </si>
  <si>
    <t>3/8" — standard for wooden tongue drums</t>
  </si>
  <si>
    <t>Soundboard Wood</t>
  </si>
  <si>
    <t>Soundboard K (cantilever)</t>
  </si>
  <si>
    <t>From material library below; Padauk = 24,438</t>
  </si>
  <si>
    <t>1/8" CNC upcut spiral bit</t>
  </si>
  <si>
    <t>Width affects volume, NOT pitch</t>
  </si>
  <si>
    <t>Bottom of bowl; controls Helmholtz bass</t>
  </si>
  <si>
    <t>Bowl is NOT the soundboard — any attractive hardwood works</t>
  </si>
  <si>
    <t>SOUNDBOARD MATERIAL LIBRARY — Cantilever K Values (from Tongue Drum sheet)</t>
  </si>
  <si>
    <t>K (cantilever)</t>
  </si>
  <si>
    <t>Warm, rich, excellent sustain</t>
  </si>
  <si>
    <t>Bright, punchy attack</t>
  </si>
  <si>
    <t>Balanced, sweet midrange</t>
  </si>
  <si>
    <t>Full, mellow</t>
  </si>
  <si>
    <t>Bright, long sustain</t>
  </si>
  <si>
    <t>Warm, full bass</t>
  </si>
  <si>
    <t>Light, resonant, guitar-like</t>
  </si>
  <si>
    <t>HELMHOLTZ RESONANCE (Enclosed Bowl Chamber)</t>
  </si>
  <si>
    <t>≈ 2/3 × π × r² × h (hemisphere)</t>
  </si>
  <si>
    <t>← Should be below the lowest tongue note for warm bass coupling</t>
  </si>
  <si>
    <t>Max Tongue Length (in)</t>
  </si>
  <si>
    <t>← radius minus 1" Ding clearance</t>
  </si>
  <si>
    <t>Cut Length (in)</t>
  </si>
  <si>
    <t>Fit?</t>
  </si>
  <si>
    <t>FIT ANALYSIS — Tongue Length vs Shell Radius</t>
  </si>
  <si>
    <t>D3 Tongue (in)</t>
  </si>
  <si>
    <t>Max (in)</t>
  </si>
  <si>
    <t>Tongues Fit</t>
  </si>
  <si>
    <t>Verdict</t>
  </si>
  <si>
    <t>❌</t>
  </si>
  <si>
    <t>⚠️</t>
  </si>
  <si>
    <t>✅</t>
  </si>
  <si>
    <t>ALL 11</t>
  </si>
  <si>
    <t>✅✅</t>
  </si>
  <si>
    <t>Wood tongues are MUCH longer than steel at same pitch. D3 Kurd won't fit any practical shell. Solutions:</t>
  </si>
  <si>
    <t>D3 Kurd, 3/8" Padauk, 12"</t>
  </si>
  <si>
    <t>D3 Kurd, 3/8" Padauk, 16"</t>
  </si>
  <si>
    <t>D4 Kurd, 3/8" Padauk, 12"</t>
  </si>
  <si>
    <t>D4 Kurd, 3/8" Padauk, 14"</t>
  </si>
  <si>
    <t>D4 Kurd, 1/4" Cedar, 12"</t>
  </si>
  <si>
    <t>RECOMMENDED: D4 Kurd + 3/8" Padauk + 14" shell (all 11 fit with margin)</t>
  </si>
  <si>
    <t>KEY INSIGHT: Wood K (~24k) vs Steel K (~32k) means wood tongues are ~30% longer at same pitch.</t>
  </si>
  <si>
    <t>CONCEPT A: Segmented Bowl + Flat CNC Soundboard</t>
  </si>
  <si>
    <t>Segmented ring-stack bowl (like Ashiko/Conga) turned on lathe + flat tonewood disc glued on top with CNC-cut tongues</t>
  </si>
  <si>
    <t>Bowl: Rings</t>
  </si>
  <si>
    <t>rings</t>
  </si>
  <si>
    <t>Bowl: Segments/Ring</t>
  </si>
  <si>
    <t>Bowl: Miter Angle</t>
  </si>
  <si>
    <t>Bowl: Total Pieces</t>
  </si>
  <si>
    <t>Bowl: Wall Thickness</t>
  </si>
  <si>
    <t>After turning</t>
  </si>
  <si>
    <t>Bowl: Ring Thickness</t>
  </si>
  <si>
    <t>Soundboard Disc</t>
  </si>
  <si>
    <t>in diam flat disc; glue to bowl rim</t>
  </si>
  <si>
    <t>Proven technique (you've built 3 segmented drums); beautiful multi-wood patterns; reliable cantilever physics on flat top</t>
  </si>
  <si>
    <t>96 segments to cut; lathe turning required; heavy</t>
  </si>
  <si>
    <t>Table saw + miter sled (segments), wood lathe (turning), CNC router (tongue slits), drill press (Gu port)</t>
  </si>
  <si>
    <t>CONCEPT B: Stave Shell + Flat CNC Soundboard</t>
  </si>
  <si>
    <t>Vertical staves ripped at miter angle, glued edge-to-edge around form, turned on lathe + flat tonewood soundboard</t>
  </si>
  <si>
    <t>Staves: Count</t>
  </si>
  <si>
    <t>Staves: Miter Angle</t>
  </si>
  <si>
    <t>Stave Width at Rim</t>
  </si>
  <si>
    <t>in — widest point</t>
  </si>
  <si>
    <t>Stave Height</t>
  </si>
  <si>
    <t>in — bowl depth + 1" rim overshoot</t>
  </si>
  <si>
    <t>Stave Thickness</t>
  </si>
  <si>
    <t>in — turns down to ~3/4" wall</t>
  </si>
  <si>
    <t>Only 16 pieces; continuous grain = better acoustics; faster than 96 segments; elegant look</t>
  </si>
  <si>
    <t>Each stave must taper from rim width to narrow base; needs interior form or faceplate for turning</t>
  </si>
  <si>
    <t>Table saw (rip staves at miter), wood lathe + faceplate, band clamp (glue-up), CNC router (tongue slits)</t>
  </si>
  <si>
    <t>CONCEPT C: Full Sphere — CNC Carved Hemispheres with Curved Tongues</t>
  </si>
  <si>
    <t>Two hemispheres CNC-carved from thick glue-ups (split-blank style). Tongue slits CNC-cut or laser-cut into curved top shell.</t>
  </si>
  <si>
    <t>Top Blank</t>
  </si>
  <si>
    <t>in square glue-up, min 4" thick</t>
  </si>
  <si>
    <t>Bottom Blank</t>
  </si>
  <si>
    <t>in square glue-up, min 3" thick</t>
  </si>
  <si>
    <t>CNC Strategy</t>
  </si>
  <si>
    <t>3D surfacing: 3/4" ball-end for exterior convex, flip-jig with datum pins for interior concave</t>
  </si>
  <si>
    <t>Tongue Cutting</t>
  </si>
  <si>
    <t>CNC with 1/8" upcut spiral on curved surface; OR laser-cut after flattening (experimental)</t>
  </si>
  <si>
    <t>3/8" at tongue fields; can taper thicker at rim for strength</t>
  </si>
  <si>
    <t>Tuning Note</t>
  </si>
  <si>
    <t>Cantilever formula assumes FLAT beam. Curved tongues vibrate differently — expect empirical tuning (file to pitch)</t>
  </si>
  <si>
    <t>Closest to steel tongue drum appearance; fully enclosed sphere; most visually striking</t>
  </si>
  <si>
    <t>MOST challenging: curved tongue physics are unpredictable; massive CNC time (3D surfacing both sides); waste material</t>
  </si>
  <si>
    <t>CNC router (3D surfacing + flip jig + tongue slits), jointer/planer (glue-up prep), flexible epoxy (join halves)</t>
  </si>
  <si>
    <t>Risk Level</t>
  </si>
  <si>
    <t>⚠️ HIGH — Prototype first. Use cheap wood (poplar) for initial test. Tuning will require extensive filing.</t>
  </si>
  <si>
    <t>CONCEPT COMPARISON</t>
  </si>
  <si>
    <t>A: Segmented</t>
  </si>
  <si>
    <t>B: Stave</t>
  </si>
  <si>
    <t>C: CNC Sphere</t>
  </si>
  <si>
    <t>Difficulty</t>
  </si>
  <si>
    <t>★★☆ (proven)</t>
  </si>
  <si>
    <t>★★☆ (moderate)</t>
  </si>
  <si>
    <t>★★★ (experimental)</t>
  </si>
  <si>
    <t>Piece Count</t>
  </si>
  <si>
    <t>96 segments + 1 disc</t>
  </si>
  <si>
    <t>16 staves + 1 disc</t>
  </si>
  <si>
    <t>2 blanks (glue-ups)</t>
  </si>
  <si>
    <t>Lathe Required?</t>
  </si>
  <si>
    <t>Yes (exterior)</t>
  </si>
  <si>
    <t>No (CNC only)</t>
  </si>
  <si>
    <t>CNC Required?</t>
  </si>
  <si>
    <t>Yes (tongue slits)</t>
  </si>
  <si>
    <t>Yes (everything)</t>
  </si>
  <si>
    <t>Tuning Reliability</t>
  </si>
  <si>
    <t>High (flat cantilever)</t>
  </si>
  <si>
    <t>Low (curved — empirical)</t>
  </si>
  <si>
    <t>Est. Material Cost</t>
  </si>
  <si>
    <t>$60-120</t>
  </si>
  <si>
    <t>Build Time</t>
  </si>
  <si>
    <t>12-16 hours</t>
  </si>
  <si>
    <t>8-12 hours</t>
  </si>
  <si>
    <t>20-30 hours</t>
  </si>
  <si>
    <t>Visual Impact</t>
  </si>
  <si>
    <t>Beautiful patterns</t>
  </si>
  <si>
    <t>Clean grain</t>
  </si>
  <si>
    <t>Most striking</t>
  </si>
  <si>
    <t>Recommendation</t>
  </si>
  <si>
    <t>⭐ Start here</t>
  </si>
  <si>
    <t>Great 2nd build</t>
  </si>
  <si>
    <t>Ambitious prototype</t>
  </si>
  <si>
    <t>1. Wood tongue drums need D4+ Ding on 12-14" shells. D3 Ding requires 16"+ shell or impractically thick soundboard.</t>
  </si>
  <si>
    <t>2. Thicker soundboard = LONGER tongues (L grows with sqrt of t). Use thinner board with higher-K wood for compact design.</t>
  </si>
  <si>
    <t>3. The enclosed bowl adds Helmholtz resonance your rectangular box tongue drums don't have — expect noticeably more sustain and bass warmth.</t>
  </si>
  <si>
    <t>4. For Concepts A &amp; B, the soundboard-to-bowl joint is critical. Use tight-fitting rabbet joint + wood glue for best acoustic transfer.</t>
  </si>
  <si>
    <t>5. CNC tongue slit layout: use same radial pattern as steel tongue drums (zigzag ascending). Program in SolidWorks parametric table.</t>
  </si>
  <si>
    <t>6. Gu port: drill through thickest part of bowl bottom. Fit with rubber O-ring (same as Handpan sheet).</t>
  </si>
  <si>
    <t>7. Concept C: If curved tongues don't produce reliable pitches, consider hybrid — CNC sphere with a FLAT inset panel for tongues.</t>
  </si>
  <si>
    <t>8. The bowl acts as a parabolic reflector — sound projects upward through the tongue slits. Player hears clear attack; audience hears full resonance.</t>
  </si>
  <si>
    <t>9. Weight: segmented bowl ~3-5 lbs + soundboard ~1 lb = total 4-6 lbs. Stave = lighter. CNC sphere = heaviest.</t>
  </si>
  <si>
    <t>10. This is an ORIGINAL DESIGN — no commercial wood shell tongue drums exist at this level. Document everything for your portfolio.</t>
  </si>
  <si>
    <t>Technical Drawing Descriptions — For Image Generation Agent</t>
  </si>
  <si>
    <t>Style Reference: Fender '62 Strat Blueprint — white lines on dark blue/navy background, orthographic projection, thin dimension lines with arrow-tipped callouts, sans-serif labels, engineering precision.</t>
  </si>
  <si>
    <t>DRAWING 1: STEEL TONGUE DRUM — Plan + Cross-Section</t>
  </si>
  <si>
    <t>Prompt</t>
  </si>
  <si>
    <t>Technical blueprint drawing, white lines on dark navy blue background, engineering orthographic style. TOP VIEW (plan): A 12-inch diameter circular steel shell viewed from above showing 11 teardrop-shaped tongue slots arranged in a radial sunburst pattern around a raised center dome (Ding). Tongues are cut through the steel with 0.040-inch slit kerfs. The center Ding is a 2-inch diameter uncut dome. Tongues graduate in size from the longest (4.16 inches, bottom-center, labeled 'D3') to shortest (2.08 inches, top, labeled 'D5'), arranged in zigzag left-right ascending order. Each tongue is 1 inch wide. A 2.5-inch sound port hole is shown in dashed lines (indicating it's on the bottom shell). Dimension lines show: overall diameter 12.000 in, longest tongue 4.156 in, shortest tongue 2.081 in, kerf width 0.040 in, tongue width 1.000 in. SIDE VIEW (cross-section): Below the plan view, a vertical section through the center showing two hemisphere shells glued together at the rim creating a lenticular (lens) shape. Shell height 6.000 in total. Steel wall thickness 0.079 in (2mm). The bottom shell has a centered 2.5-inch port hole. Interior cavity shown with light hatching. Dimension callouts show height, wall thickness, and port diameter. Title block lower-right: 'STEEL TONGUE DRUM — D Kurd 11-Note / Ø12 × H6 / 2mm Carbon Steel / Tony Koop Workshop / Scale 1:2'. Drawing number: STD-001.</t>
  </si>
  <si>
    <t>DRAWING 2: HANDPAN / HANG — Plan + Cross-Section</t>
  </si>
  <si>
    <t>Technical blueprint drawing, white lines on dark navy blue background, engineering orthographic style. TOP VIEW (plan): A 21-inch diameter circular handpan viewed from above showing 9 tone fields. The center has a raised convex dome labeled 'Ding D3' approximately 3 inches in diameter. Surrounding it are 8 oval tone fields arranged in a clock-face pattern with zigzag ascending order: Field 1 (A3) at 7 o'clock position (3.5 × 4.6 in oval), Field 2 (Bb3) at 5 o'clock, Field 3 (C4) at 9 o'clock, Field 4 (D4) at 3 o'clock, Field 5 (E4) at 10 o'clock, Field 6 (F4) at 2 o'clock, Field 7 (G4) at 11 o'clock, Field 8 (A4) at 1 o'clock (2.5 × 3.2 in oval, smallest). Each field has a small concave dimple at its center shown as a tiny circle. Note names labeled inside each field. Lower fields are larger ovals, upper fields are smaller. Dimension lines show: overall diameter 21.000 in, Ding dome diameter 3.000 in, largest field 3.5 × 4.6 in, smallest field 2.5 × 3.2 in. SIDE VIEW (cross-section): Below the plan view, a vertical section showing two convex hemisphere shells glued at the rim creating a UFO/lenticular shape. Total height 9.500 in. Wall thickness 1.0mm (0.039 in). The top shell has a gentle dome profile with the Ding raised at center. The bottom shell has a 3.5-inch Gu port hole at center with an inward-rolled edge. Interior cavity shown with light hatching. Helmholtz resonance labeled: 'Gu Bass ≈ Bb2 (115 Hz)'. Dimension callouts: diameter, height, wall thickness, port diameter. Title block: 'HANDPAN — D Kurd 9-Note / Ø21 × H9.5 / 1mm Nitrided DC04 Steel / Tony Koop Workshop / Scale 1:3'. Drawing number: HAN-001.</t>
  </si>
  <si>
    <t>DRAWING 3: WOOD SHELL TONGUE DRUM — Concept A Exploded View</t>
  </si>
  <si>
    <t>Technical blueprint drawing, white lines on dark navy blue background, engineering exploded isometric view (SolidWorks style). Three components shown separated vertically with dashed assembly lines connecting them. TOP COMPONENT: A flat circular soundboard disc, 12 inches in diameter, 3/8 inch thick, with 11 teardrop-shaped tongue slots CNC-cut through the surface in a radial pattern around a central uncut dome. The tongues graduate from longest at bottom (for the lowest note) to shortest at top. Material labeled: 'Padauk 3/8 in soundboard, K=24,438'. Dimension: Ø12.000 in × 0.375 in thick. MIDDLE COMPONENT: A hemispherical bowl shell approximately 12 inches in diameter and 5 inches deep, shown as a segmented ring-stack construction (8 rings × 12 segments = 96 pieces). Each ring is a polygon approximating a circle, and the rings stack to form a hemisphere profile. Several different wood tones shown to indicate alternating species. A 2.5-inch port hole at the bottom of the bowl. Material labeled: 'Segmented Bowl — Walnut/Maple/Cherry, 96 segments'. BOTTOM COMPONENT (alternative): A stave-constructed bowl shell of the same diameter, shown as 16 vertical staves edge-glued to form a barrel shape, tapered from wide at rim to narrow at bottom port. Labeled: 'Option B: Stave Bowl — 16 staves'. Dashed assembly arrows show the soundboard mating to either bowl option. Title block: 'WOOD SHELL TONGUE DRUM — Concept A / Ø12 × H5 / Padauk + Walnut / CNC + Lathe / Tony Koop Workshop / Scale 1:2'. Drawing number: WST-001.</t>
  </si>
  <si>
    <t>DRAWING 4: HANDPAN TONE FIELD DETAIL — Tuning Anatomy</t>
  </si>
  <si>
    <t>Technical blueprint drawing, white lines on dark navy blue background, detailed cross-section view. A single handpan tone field shown in extreme close-up cross-section, approximately 3.5 inches wide. The steel sheet (1mm thick) forms a shallow oval depression with a small concave dimple at center (approximately 0.3 inch deep). The section shows the characteristic 'two perpendicular Pringles' shape — the long axis of the oval curves one way while the short axis curves the other, creating the two vibration modes. Three frequency labels with arrows pointing to different zones of the field: 'Fundamental (f₁) — strike zone' pointing to the area between dimple and edge, 'Octave (2×f₁) — long axis mode' with a dashed vibration mode line along the major axis, 'Compound 5th (3×f₁) — short axis mode' with a dashed line along the minor axis. The dimple at center labeled 'Dimple — stabilizes vibration, reduces metallic ring'. The boundary between tone field and interstitial area shown as a subtle ridge labeled 'Isolation boundary — prevents crosstalk to adjacent fields'. Surrounding flat steel labeled 'Interstitial (untuned)'. Dimension callouts: field width 3.500 in, field height 4.550 in, dimple depth 0.300 in, steel thickness 0.039 in. Title block: 'HANDPAN TONE FIELD — Vibration Mode Anatomy / Scale 2:1'. Drawing number: HAN-001-D.</t>
  </si>
  <si>
    <t>DRAWING 5: THREE INSTRUMENTS — Comparison Lineup</t>
  </si>
  <si>
    <t>Technical blueprint drawing, white lines on dark navy blue background. Three instruments shown side by side in front elevation (cross-section) view, drawn to the same scale for size comparison. LEFT: Steel Tongue Drum — 12 inch diameter lenticular shell, 6 inches tall, with tongue slits visible on the top profile and a 2.5-inch port on bottom. Labeled 'Steel Tongue Drum / Ø12 × H6 / 2mm Carbon Steel / 11 tongues / $130-335'. CENTER: Handpan — 21 inch diameter, 9.5 inches tall, much larger than the tongue drum. Tone field contours visible on top shell as gentle depressions, Ding dome raised at center, Gu port on bottom. Labeled 'Handpan / Ø21 × H9.5 / 1mm Nitrided Steel / 9 fields × 3 partials / $395-935'. RIGHT: Wood Shell Tongue Drum — 12 inch diameter, 5 inches tall, with flat soundboard on top (tongue slits visible) mated to a segmented wood bowl below. The wood cross-hatch pattern differentiates it from the steel instruments. Labeled 'Wood Shell Tongue Drum / Ø12 × H5 / Padauk + Walnut / 11 tongues / $200-400'. A horizontal dimension line spans all three showing the scale relationship. Below each, a small physics icon: cantilever beam symbol under the tongue drums, clamped plate symbol under the handpan, and Helmholtz resonator symbol under all three. Title block: 'INSTRUMENT COMPARISON — Steel Percussion Family / Tony Koop Workshop / Scale 1:4'. Drawing number: FAM-001.</t>
  </si>
  <si>
    <t>Technical Drawings</t>
  </si>
  <si>
    <t>Image Prompts</t>
  </si>
  <si>
    <t>5 Fender-blueprint-style prompts: Steel Tongue plan+section, Handpan plan+section, Wood Shell exploded, Tone Field anatomy, Family comparison</t>
  </si>
  <si>
    <t>DRW-001</t>
  </si>
  <si>
    <t>Tubular Bells (Orchestral Chimes) — Free-Free Beam Transverse Vibration of Hollow Tubes</t>
  </si>
  <si>
    <t>Chromatic C4–F5 (1.5 octaves) · Struck at top with mallet · Hung from cord at node points (22.4% from end) · Damper pedal system</t>
  </si>
  <si>
    <t>Tube OD (in)</t>
  </si>
  <si>
    <t>← 1.25" EMT for DIY; 1.5" for orchestral</t>
  </si>
  <si>
    <t>Tube ID (in)</t>
  </si>
  <si>
    <t>Brass (chrome-plated)</t>
  </si>
  <si>
    <t>← Brass = warm bell tone; Steel EMT = brighter, cheaper</t>
  </si>
  <si>
    <t>Young's Modulus E (Pa)</t>
  </si>
  <si>
    <t>Density ρ (kg/m³)</t>
  </si>
  <si>
    <t>C4–F5 (18 tubes, chromatic)</t>
  </si>
  <si>
    <t>← Standard 1.5 oct. Extended = C4–G5 (20 tubes)</t>
  </si>
  <si>
    <t>Number of Tubes</t>
  </si>
  <si>
    <t>Cap at Top?</t>
  </si>
  <si>
    <t>Yes — reinforced metal disc</t>
  </si>
  <si>
    <t>← Strike cap improves tone; shortens effective length ~0.5"</t>
  </si>
  <si>
    <t>Cap Correction (in)</t>
  </si>
  <si>
    <t>Common Tube Sizes</t>
  </si>
  <si>
    <t>Cost</t>
  </si>
  <si>
    <t>Brass (260/360)</t>
  </si>
  <si>
    <t>Warm, rich, bell-like</t>
  </si>
  <si>
    <t>1.5" OD × 0.098" wall</t>
  </si>
  <si>
    <t>$$$</t>
  </si>
  <si>
    <t>Orchestra standard; chrome-plated for appearance</t>
  </si>
  <si>
    <t>Steel EMT Conduit</t>
  </si>
  <si>
    <t>Bright, clear, metallic</t>
  </si>
  <si>
    <t>1/2", 3/4", 1", 1.25" nom.</t>
  </si>
  <si>
    <t>$</t>
  </si>
  <si>
    <t>Cheapest; hardware store; galvanized or bare</t>
  </si>
  <si>
    <t>Crisp, sustained, modern</t>
  </si>
  <si>
    <t>1", 1.25", 1.5" OD</t>
  </si>
  <si>
    <t>$$</t>
  </si>
  <si>
    <t>No rust; longer sustain than carbon steel</t>
  </si>
  <si>
    <t>6061 Aluminum</t>
  </si>
  <si>
    <t>Light, bright, shimmery</t>
  </si>
  <si>
    <t>Much lighter; common for wind chimes</t>
  </si>
  <si>
    <t>Copper (110)</t>
  </si>
  <si>
    <t>Warm, mellow, dark</t>
  </si>
  <si>
    <t>1", 1.25", 1.5" Type L/M</t>
  </si>
  <si>
    <t>$$$$</t>
  </si>
  <si>
    <t>Beautiful patina; expensive; softer tone</t>
  </si>
  <si>
    <t>TUBE LENGTH CALCULATOR — f = (λ²/2πL²) × √(EI/ρA) where I = π/64(OD⁴−ID⁴), A = π/4(OD²−ID²)</t>
  </si>
  <si>
    <t>λ₁ (free-free 1st mode)</t>
  </si>
  <si>
    <t>Moment of Inertia I (in⁴)</t>
  </si>
  <si>
    <t>Cross-Section Area A (in²)</t>
  </si>
  <si>
    <t>Radius of Gyration (in)</t>
  </si>
  <si>
    <t>Theoretical L (in)</t>
  </si>
  <si>
    <t>Cut Length (cm)</t>
  </si>
  <si>
    <t>Hang Point (in)</t>
  </si>
  <si>
    <t>Row</t>
  </si>
  <si>
    <t>OD in meters</t>
  </si>
  <si>
    <t>ID in meters</t>
  </si>
  <si>
    <t>Front</t>
  </si>
  <si>
    <t>Back</t>
  </si>
  <si>
    <t>FRAME DESIGN</t>
  </si>
  <si>
    <t>Frame Height (in)</t>
  </si>
  <si>
    <t>← 6 ft standard; tallest tube hangs from top rail</t>
  </si>
  <si>
    <t>Frame Width (in)</t>
  </si>
  <si>
    <t>← 2" spacing per tube + 6" margins</t>
  </si>
  <si>
    <t>Frame Depth (in)</t>
  </si>
  <si>
    <t>← Front rail + back rail (raised 8") + damper clearance</t>
  </si>
  <si>
    <t>Front Rail Height</t>
  </si>
  <si>
    <t>Back Rail Height</t>
  </si>
  <si>
    <t>← Raised 8" for sharps/flats (piano keyboard layout)</t>
  </si>
  <si>
    <t>Tube Spacing (in)</t>
  </si>
  <si>
    <t>Piano keyboard: 10 naturals (C-B, C-F) front rail; 8 sharps/flats back rail, raised 8"</t>
  </si>
  <si>
    <t>Suspension</t>
  </si>
  <si>
    <t>Nylon cord through holes drilled at node points (22.42% from top end)</t>
  </si>
  <si>
    <t>Damper System</t>
  </si>
  <si>
    <t>Felt-padded damper bar behind tubes, connected to foot pedal via vertical rod</t>
  </si>
  <si>
    <t>← Pedal down = sustain (bar retracted); pedal up = damped (bar contacts tubes)</t>
  </si>
  <si>
    <t>Casters</t>
  </si>
  <si>
    <t>4 locking swivel casters on base frame for portability</t>
  </si>
  <si>
    <t>Spec</t>
  </si>
  <si>
    <t>Supplier</t>
  </si>
  <si>
    <t>Brass tube 1.5" OD (or steel EMT 1.25")</t>
  </si>
  <si>
    <t>~40 lin ft</t>
  </si>
  <si>
    <t>Total of 18 cut lengths ≈ 37 ft + 10% waste</t>
  </si>
  <si>
    <t>Metal supermarket / McMaster-Carr / hardware store</t>
  </si>
  <si>
    <t>$120-400</t>
  </si>
  <si>
    <t>Tube caps (strike surface)</t>
  </si>
  <si>
    <t>Hardened steel or brass disc, pressed into tube top</t>
  </si>
  <si>
    <t>Machine on lathe or buy pre-made</t>
  </si>
  <si>
    <t>$20-90</t>
  </si>
  <si>
    <t>Frame material (steel angle/square tube)</t>
  </si>
  <si>
    <t>~30 ft</t>
  </si>
  <si>
    <t>1" square tube or 1.5" angle iron for uprights + rails</t>
  </si>
  <si>
    <t>Metal supermarket / hardware store</t>
  </si>
  <si>
    <t>Suspension cord (nylon)</t>
  </si>
  <si>
    <t>50 ft</t>
  </si>
  <si>
    <t>Heavy-duty braided nylon, 1/8" or 3/16" diam</t>
  </si>
  <si>
    <t>Hardware store / marine supply</t>
  </si>
  <si>
    <t>$10-15</t>
  </si>
  <si>
    <t>Damper bar + felt pads</t>
  </si>
  <si>
    <t>Aluminum bar + adhesive-back felt strip, full width</t>
  </si>
  <si>
    <t>CNC cut or buy flat bar + craft felt</t>
  </si>
  <si>
    <t>Damper pedal mechanism</t>
  </si>
  <si>
    <t>Piano-style pedal + vertical rod + spring return</t>
  </si>
  <si>
    <t>Salvage from old piano / fabricate</t>
  </si>
  <si>
    <t>Locking casters</t>
  </si>
  <si>
    <t>2" swivel casters with brake</t>
  </si>
  <si>
    <t>Hardware store</t>
  </si>
  <si>
    <t>$15-25</t>
  </si>
  <si>
    <t>Mallet (pair)</t>
  </si>
  <si>
    <t>Oak or hard plastic head, 3-4.5 cm diam, 25-30 cm handle</t>
  </si>
  <si>
    <t>Buy or turn on lathe</t>
  </si>
  <si>
    <t>$15-40</t>
  </si>
  <si>
    <t>Chromatic tuner + file set</t>
  </si>
  <si>
    <t>Peterson StroboClip or app; fine-cut metal files</t>
  </si>
  <si>
    <t>Amazon / music store</t>
  </si>
  <si>
    <t>Fasteners, paint, finish</t>
  </si>
  <si>
    <t>Bolts, welding rod, chrome spray or clear coat</t>
  </si>
  <si>
    <t>$305-850</t>
  </si>
  <si>
    <t>Tubes</t>
  </si>
  <si>
    <t>Cut 18 tubes to length from calculator (leave 1" extra for tuning)</t>
  </si>
  <si>
    <t>Band saw / pipe cutter / chop saw</t>
  </si>
  <si>
    <t>Cut LONG — you can shorten to sharpen pitch, but can't lengthen</t>
  </si>
  <si>
    <t>Deburr cut ends; file smooth on both ends</t>
  </si>
  <si>
    <t>Deburr tool, fine file</t>
  </si>
  <si>
    <t>Smooth edges prevent cord wear and improve strike tone</t>
  </si>
  <si>
    <t>Press or braze cap onto top end of each tube</t>
  </si>
  <si>
    <t>Arbor press / lathe / brazing torch</t>
  </si>
  <si>
    <t>Cap must be tight — loose cap buzzes and kills tone</t>
  </si>
  <si>
    <t>Tune lowest tube (C4) first — file end to raise pitch</t>
  </si>
  <si>
    <t>Chromatic tuner, flat file, fine file</t>
  </si>
  <si>
    <t>Remove 1/16" at a time; check pitch after each pass</t>
  </si>
  <si>
    <t>Tune remaining 17 tubes ascending from C#4 to F5</t>
  </si>
  <si>
    <t>Work up the scale; re-check earlier tubes (stress relief may shift)</t>
  </si>
  <si>
    <t>Drill 1/8" cord holes at node point on each tube (22.42% from top)</t>
  </si>
  <si>
    <t>Drill press, 1/8" bit</t>
  </si>
  <si>
    <t>Measure from TOP (cap end); drill through both walls perpendicular</t>
  </si>
  <si>
    <t>Frame</t>
  </si>
  <si>
    <t>Weld or bolt frame: base + 2 uprights + 2 rails (front + back)</t>
  </si>
  <si>
    <t>MIG welder / bolts</t>
  </si>
  <si>
    <t>Back rail 8" higher than front; total height ~72" (6 ft)</t>
  </si>
  <si>
    <t>Mount casters on base; verify frame is level and stable</t>
  </si>
  <si>
    <t>Wrench, level</t>
  </si>
  <si>
    <t>Frame must not wobble — affects sustain and pitch perception</t>
  </si>
  <si>
    <t>Hang</t>
  </si>
  <si>
    <t>Thread nylon cord through holes; hang from rail in keyboard order</t>
  </si>
  <si>
    <t>Nylon cord, knots</t>
  </si>
  <si>
    <t>Naturals on front rail, sharps/flats on back rail</t>
  </si>
  <si>
    <t>Damper</t>
  </si>
  <si>
    <t>Mount damper bar behind tubes on pivot; connect to pedal</t>
  </si>
  <si>
    <t>Aluminum bar, felt, hinges, rod</t>
  </si>
  <si>
    <t>Pedal down = sustain (bar swings away); up = damped (contacts tubes)</t>
  </si>
  <si>
    <t>Clean and finish tubes; paint or clear-coat frame</t>
  </si>
  <si>
    <t>Chrome spray / clear coat / oil</t>
  </si>
  <si>
    <t>Brass: clear lacquer to prevent tarnish. Steel: chrome spray</t>
  </si>
  <si>
    <t>Final Tune</t>
  </si>
  <si>
    <t>Re-check all 18 tubes after hanging — assembly may shift pitch slightly</t>
  </si>
  <si>
    <t>Fine-file if needed; let settle 1 week then check again</t>
  </si>
  <si>
    <t>1. This uses FREE-FREE BEAM transverse vibration — same physics as your Marimba/Xylophone sheets (§1D), but with a hollow tube cross-section instead of a solid rectangular bar.</t>
  </si>
  <si>
    <t>2. The radius of gyration √(I/A) = √((OD²+ID²)/16) replaces the simple thickness/√12 of a solid bar. This is why the tube formula needs OD and ID, not just thickness.</t>
  </si>
  <si>
    <t>3. Node at 22.42% from each end is where the tube doesn't vibrate (fundamental mode). Hang from here for maximum sustain. Drill small holes — larger holes shift pitch.</t>
  </si>
  <si>
    <t>4. Cut tubes LONG and file down to tune. Removing 1/16" from a 30" tube raises pitch ~3-4 cents. Work slowly.</t>
  </si>
  <si>
    <t>5. Tube caps serve two purposes: (1) provide a hard strike surface for the mallet, and (2) add mass at the end which slightly lowers pitch — accounted for by the cap correction in B15.</t>
  </si>
  <si>
    <t>6. Keyboard layout: front row = C, D, E, F, G, A, B (naturals/white keys). Back row = C#, D#, F#, G#, A# (sharps/black keys), raised 8" higher. This matches piano ergonomics.</t>
  </si>
  <si>
    <t>7. DIY shortcut: 1.25" steel EMT conduit from any hardware store (~$3/10ft) produces excellent chimes. Brass is warmer but costs 10× more.</t>
  </si>
  <si>
    <t>8. Damper pedal: works opposite to piano — pressed pedal SUSTAINS (retracts damper bar), released pedal DAMPS (bar contacts all tubes). Use spring return.</t>
  </si>
  <si>
    <t>9. The CNC-cut frame is optional — you can weld from square tube. But the mallet heads and caps are great lathe projects.</t>
  </si>
  <si>
    <t>10. Commercial orchestral chimes cost $3,000-$8,000. This DIY build in brass is $300-850; in steel EMT, under $200. The physics is identical.</t>
  </si>
  <si>
    <t>Steel Pan (Tenor/Soprano) — Circle-of-Fifths Note Layout + Chromatic Calculator</t>
  </si>
  <si>
    <t>Trinidad &amp; Tobago Idiophone · Concave Hammered Note Areas · Clamped Plate Vibration · 55-Gallon Drum or Blank Shell</t>
  </si>
  <si>
    <t>Drum Inner Diameter (in)</t>
  </si>
  <si>
    <t>← 567mm standard (55-gal drum)</t>
  </si>
  <si>
    <t>Drum Inner Diameter (mm)</t>
  </si>
  <si>
    <t>Circumference (mm)</t>
  </si>
  <si>
    <t>Steel Gauge</t>
  </si>
  <si>
    <t>18 ga (0.048 in / 1.2mm)</t>
  </si>
  <si>
    <t>Sinking Depth (in)</t>
  </si>
  <si>
    <t>← Standard tenor; deeper for lower-pitched pans</t>
  </si>
  <si>
    <t>Skirt Length (in)</t>
  </si>
  <si>
    <t>← Tenor = 5-7 in; double second = 8-10 in; bass = full drum</t>
  </si>
  <si>
    <t>Pan Type</t>
  </si>
  <si>
    <t>C Tenor (Soprano)</t>
  </si>
  <si>
    <t>Most common; melody/lead; single drum</t>
  </si>
  <si>
    <t>C4 – F#6 (Low C Tenor)</t>
  </si>
  <si>
    <t>29 chromatic notes over 2.5 octaves</t>
  </si>
  <si>
    <t>Hz (A4)</t>
  </si>
  <si>
    <t>Low-carbon steel (55-gal drum)</t>
  </si>
  <si>
    <t>← Or blank formed shell; chrome-plated after tuning</t>
  </si>
  <si>
    <t>STEEL PAN FAMILY — Comparison</t>
  </si>
  <si>
    <t>Drums</t>
  </si>
  <si>
    <t>Skirt</t>
  </si>
  <si>
    <t>Sink</t>
  </si>
  <si>
    <t>Role</t>
  </si>
  <si>
    <t>Tenor (Soprano)</t>
  </si>
  <si>
    <t>C4–F#6</t>
  </si>
  <si>
    <t>28-30</t>
  </si>
  <si>
    <t>5-7 in</t>
  </si>
  <si>
    <t>8 in</t>
  </si>
  <si>
    <t>Melody/lead</t>
  </si>
  <si>
    <t>Double Tenor (Alto)</t>
  </si>
  <si>
    <t>F3–D6</t>
  </si>
  <si>
    <t>8-9 in</t>
  </si>
  <si>
    <t>9 in</t>
  </si>
  <si>
    <t>Counter-melody, harmony</t>
  </si>
  <si>
    <t>Double Second</t>
  </si>
  <si>
    <t>F#3–C#6</t>
  </si>
  <si>
    <t>9-10 in</t>
  </si>
  <si>
    <t>Harmony, counter-melody</t>
  </si>
  <si>
    <t>Guitar/Cello</t>
  </si>
  <si>
    <t>B2–B4</t>
  </si>
  <si>
    <t>14-18 in</t>
  </si>
  <si>
    <t>7 in</t>
  </si>
  <si>
    <t>Chordal strumming</t>
  </si>
  <si>
    <t>Tenor Bass</t>
  </si>
  <si>
    <t>Bb1–C4</t>
  </si>
  <si>
    <t>Full drum</t>
  </si>
  <si>
    <t>4 in</t>
  </si>
  <si>
    <t>Bass line</t>
  </si>
  <si>
    <t>Six Bass</t>
  </si>
  <si>
    <t>Bb1–D3</t>
  </si>
  <si>
    <t>Bass foundation</t>
  </si>
  <si>
    <t>TENOR NOTE CALCULATOR — 3 Rings, Circle-of-Fifths Layout</t>
  </si>
  <si>
    <t>← Each note area is a clamped plate; frequency determined by size, shape, and hammered tension. Note sizes are empirical (from Stockholm Handbook).</t>
  </si>
  <si>
    <t>5th (Hz)</t>
  </si>
  <si>
    <t>Arc/Width (mm)</t>
  </si>
  <si>
    <t>Radial Len (mm)</t>
  </si>
  <si>
    <t>Outer</t>
  </si>
  <si>
    <t>Middle</t>
  </si>
  <si>
    <t>Inner</t>
  </si>
  <si>
    <t>55-gallon steel drum (new)</t>
  </si>
  <si>
    <t>23 in diameter, 18-gauge low-carbon steel, open-head</t>
  </si>
  <si>
    <t>Uline, Container Store, or local supplier</t>
  </si>
  <si>
    <t>Sinking hammer (4-5 lb sledge)</t>
  </si>
  <si>
    <t>Short-handled sledge with rounded face</t>
  </si>
  <si>
    <t>Modify: cut handle to 10 in, grind face smooth and round</t>
  </si>
  <si>
    <t>Backing hammer</t>
  </si>
  <si>
    <t>2-3 lb ball-peen, short handle</t>
  </si>
  <si>
    <t>Standard ball-peen with handle cut to 8 in</t>
  </si>
  <si>
    <t>Tuning hammers (set of 3)</t>
  </si>
  <si>
    <t>8oz, 12oz, 16oz ball-peen, handles 6-8 in</t>
  </si>
  <si>
    <t>Various sizes for different note areas; grind faces smooth</t>
  </si>
  <si>
    <t>$25-40</t>
  </si>
  <si>
    <t>Grooving punch / nail set</t>
  </si>
  <si>
    <t>1/8 in and 3/16 in nail sets</t>
  </si>
  <si>
    <t>For marking groove lines between notes</t>
  </si>
  <si>
    <t>Chromatic tuner + FFT software</t>
  </si>
  <si>
    <t>Must show fundamental + overtones</t>
  </si>
  <si>
    <t>Note templates (laser-cut)</t>
  </si>
  <si>
    <t>Acrylic ovals matching note sizes above</t>
  </si>
  <si>
    <t>Laser cut at Maker Nexus from 1/8 in acrylic</t>
  </si>
  <si>
    <t>Tempering fire pit / gas torch</t>
  </si>
  <si>
    <t>MAP gas torch or propane fire pit</t>
  </si>
  <si>
    <t>Heat to cherry red, quench in water</t>
  </si>
  <si>
    <t>Chrome plating (outsource)</t>
  </si>
  <si>
    <t>Decorative chrome or nickel-chrome</t>
  </si>
  <si>
    <t>Outsource to plating shop; or use rust-preventive oil finish</t>
  </si>
  <si>
    <t>$50-200</t>
  </si>
  <si>
    <t>Stand + rubber mallets</t>
  </si>
  <si>
    <t>Height-adjustable tripod stand, 2 rubber-tipped mallets</t>
  </si>
  <si>
    <t>Weld from steel tube or buy pan stand</t>
  </si>
  <si>
    <t>$235-615</t>
  </si>
  <si>
    <t>Sinking</t>
  </si>
  <si>
    <t>Hammer drum bottom into concave basin</t>
  </si>
  <si>
    <t>Sinking sledge, sandbag</t>
  </si>
  <si>
    <t>Sink to 8 in depth; work from center outward in spirals; keep surface smooth</t>
  </si>
  <si>
    <t>Shape basin: spherical center, convex rim for outer notes</t>
  </si>
  <si>
    <t>Sinking sledge</t>
  </si>
  <si>
    <t>Leave 2-3 in of convex metal near rim for outer note formation</t>
  </si>
  <si>
    <t>Marking</t>
  </si>
  <si>
    <t>Place note templates on sunk surface, trace outlines</t>
  </si>
  <si>
    <t>Templates, marker, measuring tape</t>
  </si>
  <si>
    <t>Verify arc lengths sum to circumference (1780mm); circle-of-fifths order</t>
  </si>
  <si>
    <t>Backing</t>
  </si>
  <si>
    <t>Hammer area between notes downward to raise note dents</t>
  </si>
  <si>
    <t>Notes should rise 3-5mm as surrounding metal is pushed down</t>
  </si>
  <si>
    <t>Grooving</t>
  </si>
  <si>
    <t>Punch grooves along all note outlines to acoustically isolate</t>
  </si>
  <si>
    <t>Groove punch, hammer</t>
  </si>
  <si>
    <t>Grooves ~1mm deep, 2-3mm wide; inner grooves first, then radial</t>
  </si>
  <si>
    <t>Levelling</t>
  </si>
  <si>
    <t>Flatten surface between notes, shape note dents to final height</t>
  </si>
  <si>
    <t>Backing hammer, plastic hammer</t>
  </si>
  <si>
    <t>Notes should be evenly convex; check with straight edge across surface</t>
  </si>
  <si>
    <t>Cut skirt to correct length, drill hanger holes</t>
  </si>
  <si>
    <t>Angle grinder, Sawzall, drill</t>
  </si>
  <si>
    <t>Tenor skirt = 6 in; smooth cut edge; 2 holes for hanging cord</t>
  </si>
  <si>
    <t>Tempering</t>
  </si>
  <si>
    <t>Heat entire pan to cherry red, quench in water</t>
  </si>
  <si>
    <t>Fire pit / gas torch, water trough</t>
  </si>
  <si>
    <t>Hardens metal, improves tuning stability; do BEFORE tuning</t>
  </si>
  <si>
    <t>Rough Tuning</t>
  </si>
  <si>
    <t>Hammer each note to approximate pitch (within 10-15 cents)</t>
  </si>
  <si>
    <t>Start with largest notes (outer ring); center of note raises pitch, edges lower it</t>
  </si>
  <si>
    <t>Tune octave + compound 5th harmonics on outer notes</t>
  </si>
  <si>
    <t>Shape note into elliptical dome: long axis = fundamental, short axis = octave</t>
  </si>
  <si>
    <t>Fine Tuning</t>
  </si>
  <si>
    <t>Let rest 1-2 weeks, re-tune all notes</t>
  </si>
  <si>
    <t>Metal relaxes after tempering; repeat 2-3 cycles for stability</t>
  </si>
  <si>
    <t>Blend: adjust volume balance between notes</t>
  </si>
  <si>
    <t>Tuning hammer, ears</t>
  </si>
  <si>
    <t>All notes should have similar volume when struck with equal force</t>
  </si>
  <si>
    <t>Chrome plate or apply protective finish</t>
  </si>
  <si>
    <t>Outsource / oil</t>
  </si>
  <si>
    <t>Chrome protects from rust and looks professional; oil finish is DIY option</t>
  </si>
  <si>
    <t>Build or mount on stand, final touch-up tune</t>
  </si>
  <si>
    <t>Stand, mallets</t>
  </si>
  <si>
    <t>Adjust hanging height so pan sits at waist level when standing</t>
  </si>
  <si>
    <t>1. CIRCLE OF FIFTHS layout is the key innovation. Adjacent notes are harmonically related (5ths/4ths), so sympathetic vibration reinforces the sound rather than creating mud.</t>
  </si>
  <si>
    <t>2. Note size controls pitch: larger area = lower pitch, smaller = higher. The note shape (width:length ratio) also affects overtone tuning.</t>
  </si>
  <si>
    <t>3. Outer notes are trapezoidal (W:L ratio ~0.65), inner notes are nearly circular (W:L ~0.85). Dimensions in columns H-I are blue inputs — adjust to your drum.</t>
  </si>
  <si>
    <t>4. Grooves acoustically ISOLATE notes from each other. Without grooves, striking one note makes neighbors ring. Groove depth ~1mm, width 2-3mm.</t>
  </si>
  <si>
    <t>5. Each outer note has 3 tuned partials (fundamental, octave, compound 5th) — same as handpan. Middle/inner notes may only have 1-2 tunable partials due to smaller size.</t>
  </si>
  <si>
    <t>6. This is the ANCESTOR of your Handpan sheet. The handpan inverts the steel pan concept: convex instead of concave, Helmholtz cavity, and hand-struck instead of mallet-struck.</t>
  </si>
  <si>
    <t>7. Tempering (heating + quenching) is CRITICAL. Untempered pans lose tuning within days. Tempered pans hold tuning for months to years.</t>
  </si>
  <si>
    <t>8. Use NEW drums, not used oil drums — residual chemicals create toxic fumes when heated. 55-gallon open-head drums are available new for $40-80.</t>
  </si>
  <si>
    <t>9. Professional tuners apprentice for years. Expect your first 2-3 pans to be practice instruments. The skill is in the ears and hands, not in the formulas.</t>
  </si>
  <si>
    <t>10. Tony's advantage: your handpan tuning experience directly transfers. The hammer techniques, FFT analysis, and ear training are the same — just concave instead of convex.</t>
  </si>
  <si>
    <t>Steel Pan</t>
  </si>
  <si>
    <t>Tenor C4-F#6, 29 chromatic notes, 3 rings circle-of-fifths, note sizing, 14-step build from 55-gal drum</t>
  </si>
  <si>
    <t>STP-001</t>
  </si>
  <si>
    <t>Cajón — Artisan Box Drum with CNC Inlay &amp; Decorative Joinery</t>
  </si>
  <si>
    <t>Peruvian Box Drum · Helmholtz Resonator · Finger/Dovetail Joints · CNC Inlay Artwork (Broinwood-inspired) · Snare Option</t>
  </si>
  <si>
    <t>← Standard / Compact / Bass</t>
  </si>
  <si>
    <t>Height (in)</t>
  </si>
  <si>
    <t>← Seat height; standard 18", compact 15", bass 22"</t>
  </si>
  <si>
    <t>← Tapa face width</t>
  </si>
  <si>
    <t>Depth (in)</t>
  </si>
  <si>
    <t>← Side-to-side depth</t>
  </si>
  <si>
    <t>Body Panel Thickness (in)</t>
  </si>
  <si>
    <t>← 3/4" (19mm) for sides, top, bottom</t>
  </si>
  <si>
    <t>Tapa Thickness (in)</t>
  </si>
  <si>
    <t>← 3mm (1/8") birch ply; thinner = brighter, flex more</t>
  </si>
  <si>
    <t>Back Panel Thickness (in)</t>
  </si>
  <si>
    <t>← 1/2" ply; thicker = stronger back</t>
  </si>
  <si>
    <t>Sound Hole Diameter (in)</t>
  </si>
  <si>
    <t>← 4-5" centered, 1/3 from top on back</t>
  </si>
  <si>
    <t>← Dark base wood; ideal for CNC inlay contrast</t>
  </si>
  <si>
    <t>Inlay Wood(s)</t>
  </si>
  <si>
    <t>Maple, Yellowheart, Cherry</t>
  </si>
  <si>
    <t>← Light woods for contrast; Broinwood recommends maple</t>
  </si>
  <si>
    <t>Joinery Type</t>
  </si>
  <si>
    <t>Finger Joint</t>
  </si>
  <si>
    <t>← Finger / Box / Dovetail / Rabbet / Miter+Spline</t>
  </si>
  <si>
    <t>Snare Type</t>
  </si>
  <si>
    <t>Guitar strings (adjustable)</t>
  </si>
  <si>
    <t>← Guitar strings / Snare wires / None</t>
  </si>
  <si>
    <t>Tapa Attachment</t>
  </si>
  <si>
    <t>Screws (brass)</t>
  </si>
  <si>
    <t>← Screws every 3"; leave 4-5" unscrewed at top corners for slap</t>
  </si>
  <si>
    <t>H (in)</t>
  </si>
  <si>
    <t>W (in)</t>
  </si>
  <si>
    <t>D (in)</t>
  </si>
  <si>
    <t>Volume (in³)</t>
  </si>
  <si>
    <t>Use Case</t>
  </si>
  <si>
    <t>Compact</t>
  </si>
  <si>
    <t>Bright, punchy, tight bass</t>
  </si>
  <si>
    <t>Travel, kids, small gigs</t>
  </si>
  <si>
    <t>Standard ⭐</t>
  </si>
  <si>
    <t>Balanced bass + snare, full range</t>
  </si>
  <si>
    <t>Most versatile; sit-on playing</t>
  </si>
  <si>
    <t>Bass</t>
  </si>
  <si>
    <t>Deep, booming bass, long sustain</t>
  </si>
  <si>
    <t>Low-end focus, Peruvian style</t>
  </si>
  <si>
    <t>HELMHOLTZ RESONATOR — Cavity Bass Frequency</t>
  </si>
  <si>
    <t>Sound Hole Area (in²)</t>
  </si>
  <si>
    <t>← This is the deep bass 'thump' you feel when striking the center of the tapa</t>
  </si>
  <si>
    <t>CNC INLAY WORKFLOW — Broinwood-Inspired Technique</t>
  </si>
  <si>
    <t>Software</t>
  </si>
  <si>
    <t>1. Design</t>
  </si>
  <si>
    <t>Create / import vector artwork (SVG/DXF/AI)</t>
  </si>
  <si>
    <t>VCarve Pro, SolidWorks, or Illustrator</t>
  </si>
  <si>
    <t>Separate layers: pocket outline, inlay insert, alignment</t>
  </si>
  <si>
    <t>Broinwood files include CRV+SVG+DXF+AI formats</t>
  </si>
  <si>
    <t>2. Pocket Toolpath</t>
  </si>
  <si>
    <t>Route pocket into body panel (walnut)</t>
  </si>
  <si>
    <t>VCarve Pro</t>
  </si>
  <si>
    <t>TBN 12.4° tapered ball nose</t>
  </si>
  <si>
    <t>Pocket depth: 0.08-0.10"; Feed: 30 IPM; Spindle: ~18,000 RPM</t>
  </si>
  <si>
    <t>Test cut on scrap first; pocket is NEGATIVE of design</t>
  </si>
  <si>
    <t>3. Inlay Insert Toolpath</t>
  </si>
  <si>
    <t>Route inlay piece from contrasting wood (maple)</t>
  </si>
  <si>
    <t>Same TBN 12.4° bit</t>
  </si>
  <si>
    <t>Start depth: 0 (flat allowance); same feed/speed</t>
  </si>
  <si>
    <t>Inlay is POSITIVE of design; slightly oversized for press fit</t>
  </si>
  <si>
    <t>4. Test Fit</t>
  </si>
  <si>
    <t>Dry-fit inlay into pocket on scrap wood</t>
  </si>
  <si>
    <t>Adjust VCarve inlay allowance if too tight/loose</t>
  </si>
  <si>
    <t>Broinwood: 'the magic happens through careful execution'</t>
  </si>
  <si>
    <t>5. Glue &amp; Clamp</t>
  </si>
  <si>
    <t>Apply wood glue, press inlay into pocket, clamp flat</t>
  </si>
  <si>
    <t>Even clamping pressure; wax paper under clamp to prevent sticking</t>
  </si>
  <si>
    <t>Let cure 24+ hours</t>
  </si>
  <si>
    <t>6. Flush Sand</t>
  </si>
  <si>
    <t>Sand surface flush with drum sander or hand sanding</t>
  </si>
  <si>
    <t>Start 80 grit, finish 220; check for gaps</t>
  </si>
  <si>
    <t>Fill any tiny gaps with matching sawdust + CA glue</t>
  </si>
  <si>
    <t>INLAY DESIGN IDEAS FOR CAJÓN PANELS</t>
  </si>
  <si>
    <t>• Side panels: geometric patterns, mandala, Celtic knots, music notes, wave patterns</t>
  </si>
  <si>
    <t>• Tapa face: keep simple — player's hands hit here; small logo or border only</t>
  </si>
  <si>
    <t>• Back panel: sound hole surround rosette (like guitar sound holes)</t>
  </si>
  <si>
    <t>• Top (seat): comfort matters — subtle border inlay only, no raised elements</t>
  </si>
  <si>
    <t>• Multi-wood inlay: walnut base + maple primary + yellowheart/cherry accents for 3-tone depth</t>
  </si>
  <si>
    <t>• Laser engrave fine detail on flat panels, CNC for 3D pocket inlay on sides</t>
  </si>
  <si>
    <t>JOINERY OPTIONS</t>
  </si>
  <si>
    <t>Joint Type</t>
  </si>
  <si>
    <t>Strength</t>
  </si>
  <si>
    <t>Finger / Box Joint ⭐</t>
  </si>
  <si>
    <t>Table saw + jig, or CNC</t>
  </si>
  <si>
    <t>★★☆ Medium</t>
  </si>
  <si>
    <t>★★★ High — showcases craftsmanship</t>
  </si>
  <si>
    <t>★★★ Excellent</t>
  </si>
  <si>
    <t>CNC can cut parametric finger widths; contrasting wood fingers = stunning</t>
  </si>
  <si>
    <t>Dovetail Joint</t>
  </si>
  <si>
    <t>CNC or hand-cut</t>
  </si>
  <si>
    <t>★★★ Hard</t>
  </si>
  <si>
    <t>★★★ Highest — heirloom quality</t>
  </si>
  <si>
    <t>CNC half-blind dovetails; most impressive but hardest setup</t>
  </si>
  <si>
    <t>Rabbet Joint</t>
  </si>
  <si>
    <t>Table saw or router</t>
  </si>
  <si>
    <t>★☆☆ Easy</t>
  </si>
  <si>
    <t>★☆☆ Low — hidden</t>
  </si>
  <si>
    <t>★★☆ Good</t>
  </si>
  <si>
    <t>Simple and strong; standard for most commercial cajons</t>
  </si>
  <si>
    <t>Miter + Spline</t>
  </si>
  <si>
    <t>Table saw + spline jig</t>
  </si>
  <si>
    <t>★★★ High — contrasting splines show</t>
  </si>
  <si>
    <t>Clean corners; contrasting spline material (maple in walnut) pops</t>
  </si>
  <si>
    <t>Butt + Screws</t>
  </si>
  <si>
    <t>Drill + driver</t>
  </si>
  <si>
    <t>★☆☆ Low</t>
  </si>
  <si>
    <t>★☆☆ Fair</t>
  </si>
  <si>
    <t>Fastest; hide screws with plugs or filler; common DIY approach</t>
  </si>
  <si>
    <t>Side panels</t>
  </si>
  <si>
    <t>18 x 12 x 3/4 in</t>
  </si>
  <si>
    <t>$25-50</t>
  </si>
  <si>
    <t>Top + Bottom panels</t>
  </si>
  <si>
    <t>12 x 12 x 3/4 in</t>
  </si>
  <si>
    <t>Tapa (playing face)</t>
  </si>
  <si>
    <t>18 x 12 x 3mm birch ply</t>
  </si>
  <si>
    <t>Birch plywood</t>
  </si>
  <si>
    <t>Back panel</t>
  </si>
  <si>
    <t>18 x 12 x 1/2 in ply</t>
  </si>
  <si>
    <t>$8-15</t>
  </si>
  <si>
    <t>Inlay wood blanks</t>
  </si>
  <si>
    <t>Various sizes for CNC inlay inserts</t>
  </si>
  <si>
    <t>Snare kit</t>
  </si>
  <si>
    <t>Guitar strings + angled mount block + tuners</t>
  </si>
  <si>
    <t>Steel guitar strings</t>
  </si>
  <si>
    <t>Brass screws (tapa)</t>
  </si>
  <si>
    <t>~20</t>
  </si>
  <si>
    <t>#6 x 3/4 in brass flathead, every 3 in</t>
  </si>
  <si>
    <t>Brass</t>
  </si>
  <si>
    <t>$5-8</t>
  </si>
  <si>
    <t>Self-adhesive, 1/2 in height</t>
  </si>
  <si>
    <t>Rubber</t>
  </si>
  <si>
    <t>$3-5</t>
  </si>
  <si>
    <t>TBN bit (CNC inlay)</t>
  </si>
  <si>
    <t>Tapered Ball Nose 12.4 deg, 1/4 in shank</t>
  </si>
  <si>
    <t>Wood glue + finish</t>
  </si>
  <si>
    <t>Titebond III + tung oil or satin poly</t>
  </si>
  <si>
    <t>Broinwood CNC files (optional)</t>
  </si>
  <si>
    <t>CRV + SVG/DXF/AI files per design</t>
  </si>
  <si>
    <t>broinwood.com</t>
  </si>
  <si>
    <t>$15-30 ea</t>
  </si>
  <si>
    <t>$141-268</t>
  </si>
  <si>
    <t>Mill body panels to thickness, square edges</t>
  </si>
  <si>
    <t>Jointer, planer, table saw</t>
  </si>
  <si>
    <t>3/4 in final thickness for sides/top/bottom</t>
  </si>
  <si>
    <t>Joinery</t>
  </si>
  <si>
    <t>Cut finger joints (or chosen joint) on all body panels</t>
  </si>
  <si>
    <t>Table saw + finger jig, or CNC</t>
  </si>
  <si>
    <t>CNC: parametric finger width in VCarve/SolidWorks</t>
  </si>
  <si>
    <t>CNC Inlay</t>
  </si>
  <si>
    <t>Route inlay pockets into side panels (BEFORE assembly)</t>
  </si>
  <si>
    <t>ShopBot CNC, TBN 12.4 deg bit</t>
  </si>
  <si>
    <t>See CNC Inlay Workflow above; work on flat panels</t>
  </si>
  <si>
    <t>Route inlay inserts from contrasting wood, test fit, glue</t>
  </si>
  <si>
    <t>Same CNC + clamps</t>
  </si>
  <si>
    <t>Cure 24h, flush sand to 220 grit</t>
  </si>
  <si>
    <t>Sound Hole</t>
  </si>
  <si>
    <t>Route or drill 4.5 in sound hole in back panel</t>
  </si>
  <si>
    <t>CNC, hole saw, or jigsaw + rasp</t>
  </si>
  <si>
    <t>Centered L-R, 1/3 from top edge</t>
  </si>
  <si>
    <t>Dry Fit</t>
  </si>
  <si>
    <t>Dry-assemble all panels, check squareness</t>
  </si>
  <si>
    <t>Clamps, square</t>
  </si>
  <si>
    <t>Verify all joints close tight; sand any high spots</t>
  </si>
  <si>
    <t>Glue sides + top + bottom + back (NOT tapa yet)</t>
  </si>
  <si>
    <t>Titebond III, band clamps</t>
  </si>
  <si>
    <t>Use band clamps around entire box; check square; cure 24h</t>
  </si>
  <si>
    <t>Snare</t>
  </si>
  <si>
    <t>Mount snare mechanism inside (guitar strings on angled block)</t>
  </si>
  <si>
    <t>Drill, guitar tuners</t>
  </si>
  <si>
    <t>Angle block so strings press lightly against where tapa will be</t>
  </si>
  <si>
    <t>Tapa</t>
  </si>
  <si>
    <t>Attach tapa face with brass screws</t>
  </si>
  <si>
    <t>Drill, driver, brass screws</t>
  </si>
  <si>
    <t>Pre-drill; screws every 3 in; leave top 4-5 in unscrewed for slap</t>
  </si>
  <si>
    <t>Tune</t>
  </si>
  <si>
    <t>Adjust snare tension, tighten/loosen tapa screws</t>
  </si>
  <si>
    <t>Ears + screwdriver</t>
  </si>
  <si>
    <t>Tighter top corners = crisper slap; snare tension = buzz amount</t>
  </si>
  <si>
    <t>Apply tung oil or satin polyurethane</t>
  </si>
  <si>
    <t>Brush, rag</t>
  </si>
  <si>
    <t>Tapa: tung oil (natural feel); body: satin poly (durable)</t>
  </si>
  <si>
    <t>Final</t>
  </si>
  <si>
    <t>Install rubber feet, final snare adjustment</t>
  </si>
  <si>
    <t>Adhesive feet</t>
  </si>
  <si>
    <t>4 feet on bottom; 1/2 in height for airflow + bass projection</t>
  </si>
  <si>
    <t>1. CNC INLAY BEFORE ASSEMBLY. Always route inlay pockets while panels are flat. After glue-up, clamping for inlay is impossible.</t>
  </si>
  <si>
    <t>2. Broinwood CNC files are designed for cutting boards but adapt perfectly to cajon side panels. Scale SVG/DXF to fit your panel.</t>
  </si>
  <si>
    <t>3. Tapa is NOT glued — only screwed. This lets you replace it, adjust snare access, and tune by tightening/loosening screws.</t>
  </si>
  <si>
    <t>4. Leave top 4-5 in of tapa unscrewed at corners for the slap zone. This gap creates the crisp snare/slap sound.</t>
  </si>
  <si>
    <t>5. The Helmholtz frequency (cavity bass) changes with back panel thickness and sound hole size. Larger hole = higher bass pitch.</t>
  </si>
  <si>
    <t>6. Finger joints: CNC can cut parametric widths (e.g., 3/8 in fingers in walnut interlocking with 3/8 in maple fingers = stunning contrast).</t>
  </si>
  <si>
    <t>7. For a series of cajons, make a SolidWorks parametric model linked to this spreadsheet — change H/W/D inputs and auto-generate cut lists.</t>
  </si>
  <si>
    <t>8. The 6 flat faces of a cajon are a perfect canvas. Two sides + back = 3 large surfaces for CNC inlay art. Front is the tapa (thin ply).</t>
  </si>
  <si>
    <t>9. Internal corner braces (triangular glue blocks) add rigidity and control overtones. Place at all 8 internal corners.</t>
  </si>
  <si>
    <t>10. Consider a series theme: matching designs across 3 sizes (Compact/Standard/Bass) with progressive complexity in the inlay patterns.</t>
  </si>
  <si>
    <t>Glockenspiel / Metallophone — Free-Free Beam Bar Calculator</t>
  </si>
  <si>
    <t>Rectangular metal bars on CNC-routed frame · f = K × t / L² · Nodes at 22.4% from each end · Same physics as Marimba (§1D)</t>
  </si>
  <si>
    <t>6061-T6 Aluminum</t>
  </si>
  <si>
    <t>Bright, bell-like, lightest, easiest to cut</t>
  </si>
  <si>
    <t>1/4 inch standard; thicker = higher pitch for same length</t>
  </si>
  <si>
    <t>Width affects volume/sustain but NOT pitch</t>
  </si>
  <si>
    <t>C5 - C7</t>
  </si>
  <si>
    <t>2 octaves chromatic (25 bars)</t>
  </si>
  <si>
    <t>Concert Pitch (Hz)</t>
  </si>
  <si>
    <t>Frame Material</t>
  </si>
  <si>
    <t>CNC-routed, for display and acoustic isolation</t>
  </si>
  <si>
    <t>Bar Mounting</t>
  </si>
  <si>
    <t>Cord through node holes</t>
  </si>
  <si>
    <t>Drill at 22.4% from each end; rubber grommets</t>
  </si>
  <si>
    <t>Piano keyboard</t>
  </si>
  <si>
    <t>Naturals front row, sharps/flats back row (raised)</t>
  </si>
  <si>
    <t>MATERIAL LIBRARY — Metal Bar K Constants (Free-Free Beam)</t>
  </si>
  <si>
    <t>K (free-free)</t>
  </si>
  <si>
    <t>Bright, bell-like, long sustain</t>
  </si>
  <si>
    <t>Band saw, chop saw</t>
  </si>
  <si>
    <t>Brass (C260)</t>
  </si>
  <si>
    <t>Warm, mellow, classic glock tone</t>
  </si>
  <si>
    <t>Band saw, hacksaw</t>
  </si>
  <si>
    <t>Steel (1018)</t>
  </si>
  <si>
    <t>Harsh, metallic, very loud</t>
  </si>
  <si>
    <t>Chop saw, angle grinder</t>
  </si>
  <si>
    <t>Clean, modern, corrosion-resistant</t>
  </si>
  <si>
    <t>Phosphor Bronze</t>
  </si>
  <si>
    <t>Rich, warm, excellent sustain</t>
  </si>
  <si>
    <t>Band saw</t>
  </si>
  <si>
    <t>Selected K →</t>
  </si>
  <si>
    <t>BAR CALCULATOR — 25 Chromatic Bars (C5–C7)</t>
  </si>
  <si>
    <t>Node Hole (in)</t>
  </si>
  <si>
    <t>Natural</t>
  </si>
  <si>
    <t>Sharp</t>
  </si>
  <si>
    <t>Aluminum bar stock</t>
  </si>
  <si>
    <t>~8 ft</t>
  </si>
  <si>
    <t>6061-T6, 1/4 x 1 inch flat bar</t>
  </si>
  <si>
    <t>Online Metals, McMaster-Carr, local metal supplier</t>
  </si>
  <si>
    <t>Frame wood (walnut/maple)</t>
  </si>
  <si>
    <t>~6 bf</t>
  </si>
  <si>
    <t>3/4 thick, for CNC-routed frame + pin rails</t>
  </si>
  <si>
    <t>Hardwood dealer</t>
  </si>
  <si>
    <t>Mounting cord (nylon/paracord)</t>
  </si>
  <si>
    <t>~10 ft</t>
  </si>
  <si>
    <t>550 paracord or braided nylon cord</t>
  </si>
  <si>
    <t>Thread through node holes</t>
  </si>
  <si>
    <t>Rubber grommets</t>
  </si>
  <si>
    <t>3/16 ID to isolate bars from pins</t>
  </si>
  <si>
    <t>Prevent metal-on-metal buzz</t>
  </si>
  <si>
    <t>Steel support pins/rods</t>
  </si>
  <si>
    <t>1/8 in stainless rod, length of frame</t>
  </si>
  <si>
    <t>Bars rest on pins through node holes</t>
  </si>
  <si>
    <t>Mallets (pair)</t>
  </si>
  <si>
    <t>Brass or hard rubber head, 8-10 in handle</t>
  </si>
  <si>
    <t>Purchase or CNC-turn handles</t>
  </si>
  <si>
    <t>$10-25</t>
  </si>
  <si>
    <t>Chromatic tuner / strobe</t>
  </si>
  <si>
    <t>Peterson StroboClip or app</t>
  </si>
  <si>
    <t>Must handle high frequencies (2 kHz+)</t>
  </si>
  <si>
    <t>Wood finish (oil/lacquer)</t>
  </si>
  <si>
    <t>Tung oil, shellac, or spray lacquer</t>
  </si>
  <si>
    <t>For frame; bars can be left raw or clear-coated</t>
  </si>
  <si>
    <t>Self-adhesive, 1/2 in</t>
  </si>
  <si>
    <t>Prevent frame from sliding</t>
  </si>
  <si>
    <t>$123-280</t>
  </si>
  <si>
    <t>Bar Prep</t>
  </si>
  <si>
    <t>Cut 25 bars from stock, +1/4 in overlong</t>
  </si>
  <si>
    <t>Chop saw with non-ferrous blade</t>
  </si>
  <si>
    <t>Use stop block for repeatability; cut longest first</t>
  </si>
  <si>
    <t>Deburr all cut ends; file smooth</t>
  </si>
  <si>
    <t>Metal file, sandpaper (220 grit)</t>
  </si>
  <si>
    <t>Clean edges reduce unwanted overtones</t>
  </si>
  <si>
    <t>Drill node holes at 22.4% from each end</t>
  </si>
  <si>
    <t>Drill press, 3/16 in bit</t>
  </si>
  <si>
    <t>Use calculator column F for exact distance; clamp bar securely</t>
  </si>
  <si>
    <t>Rough Tune</t>
  </si>
  <si>
    <t>Check each bar with tuner; file end to raise pitch</t>
  </si>
  <si>
    <t>Chromatic tuner, metal file</t>
  </si>
  <si>
    <t>Cut long intentionally; can only shorten (raise pitch), never lengthen</t>
  </si>
  <si>
    <t>File in tiny increments until within +/-2 cents of target</t>
  </si>
  <si>
    <t>Fine file, strobe tuner</t>
  </si>
  <si>
    <t>Rest bar on fingers at node points while tuning</t>
  </si>
  <si>
    <t>CNC-route frame from walnut: 2 rails + 2 side pieces</t>
  </si>
  <si>
    <t>ShopBot CNC, 1/4 in downcut</t>
  </si>
  <si>
    <t>Route pin channels, bar rest notches, optional CNC inlay on sides</t>
  </si>
  <si>
    <t>Drill pin holes through frame sides at each end</t>
  </si>
  <si>
    <t>Two rows: front (naturals), back raised 3/4 in (sharps)</t>
  </si>
  <si>
    <t>Sand and finish frame</t>
  </si>
  <si>
    <t>Drum sander, finish of choice</t>
  </si>
  <si>
    <t>Apply finish BEFORE mounting bars</t>
  </si>
  <si>
    <t>Thread support pins through frame; add grommets</t>
  </si>
  <si>
    <t>Stainless rod, rubber grommets</t>
  </si>
  <si>
    <t>Grommets isolate bars acoustically from frame</t>
  </si>
  <si>
    <t>Mount bars on pins through node holes</t>
  </si>
  <si>
    <t>Hand assembly</t>
  </si>
  <si>
    <t>Low C5 at left, high C7 at right; sharps behind naturals</t>
  </si>
  <si>
    <t>Final tuning check with bars mounted</t>
  </si>
  <si>
    <t>Strobe tuner</t>
  </si>
  <si>
    <t>Mounting can shift pitch slightly; verify all 25 bars</t>
  </si>
  <si>
    <t>Add rubber feet; make mallets if desired</t>
  </si>
  <si>
    <t>Lathe (optional), rubber feet</t>
  </si>
  <si>
    <t>Brass-headed mallets for bright tone; rubber for softer</t>
  </si>
  <si>
    <t>1. Same free-free beam physics as your Marimba sheet, but metal K constants (~200k) are ~8x higher than wood (~25k). Metal bars are shorter and brighter.</t>
  </si>
  <si>
    <t>2. Width does NOT affect pitch (just like wood tongue drums). Width controls volume and sustain. Wider = louder, more sustain.</t>
  </si>
  <si>
    <t>3. Node holes at 22.42% from each end are CRITICAL. Drilling elsewhere will kill sustain. This is where vibration amplitude is zero.</t>
  </si>
  <si>
    <t>4. Always cut bars LONGER than calculated. You can file down to raise pitch, but you cannot add material back. Target +1/4 in overlong.</t>
  </si>
  <si>
    <t>5. Aluminum is ideal for first build: cheap, easy to cut, bright tone. Brass gives a warmer, more traditional glockenspiel sound but costs 5-10x more.</t>
  </si>
  <si>
    <t>6. CNC opportunity: Route decorative inlay into the wooden frame side panels. Broinwood-style walnut+maple contrast. The flat rectangular frame is perfect for it.</t>
  </si>
  <si>
    <t>7. Art fair potential: A pentatonic subset (C-D-E-G-A, 10 bars over 2 octaves) is simpler to build and play. Everyone can make music on pentatonic — no wrong notes.</t>
  </si>
  <si>
    <t>8. For a metallophone (deeper, marimba-like), use thicker bars (3/8-1/2 in) and add resonator tubes underneath (quarter-wave: L = 13552/(4*freq) inches).</t>
  </si>
  <si>
    <t>9. Comparison to Marimba: Aluminum glock = 25 bars in ~8 ft of stock. Padauk marimba = 49 bars requiring individual arch undercuts. Glock is 10x easier.</t>
  </si>
  <si>
    <t>10. The frame can also serve as a xylophone stand for your existing wood Marimba/Xylophone bars — design the pin spacing to be compatible.</t>
  </si>
  <si>
    <t>Glockenspiel</t>
  </si>
  <si>
    <t>25-bar chromatic C5-C7, free-free beam, 5 metal K constants, CNC walnut frame, art fair pentatonic option</t>
  </si>
  <si>
    <t>GLK-001</t>
  </si>
  <si>
    <t>ART FAIR PENTATONIC — 10-Bar "No Wrong Notes" Glockenspiel</t>
  </si>
  <si>
    <t>C Major Pentatonic: C-D-E-G-A over 2 octaves. Every combination sounds good — perfect for kids, art fairs, and sound gardens.</t>
  </si>
  <si>
    <t>Stock Needed</t>
  </si>
  <si>
    <t>PENTATONIC SUMMARY</t>
  </si>
  <si>
    <t>Total bars</t>
  </si>
  <si>
    <t>Total stock needed (in)</t>
  </si>
  <si>
    <t>Longest bar (C5)</t>
  </si>
  <si>
    <t>Shortest bar (A6)</t>
  </si>
  <si>
    <t>Frame length needed</t>
  </si>
  <si>
    <t>← bars + 1/4" gap between + 1" margin each end</t>
  </si>
  <si>
    <t>ART FAIR PRODUCT NOTES</t>
  </si>
  <si>
    <t>1. NO WRONG NOTES — every pair of bars in C pentatonic sounds consonant. Kids, adults, and non-musicians all make beautiful music instantly.</t>
  </si>
  <si>
    <t>2. PRICING: A 10-bar pentatonic with CNC walnut frame + rubber mallet pair sells for $85-$150 at art/craft fairs. Material cost ~$40-60.</t>
  </si>
  <si>
    <t>3. FRAME ARTWORK: Use Broinwood-style CNC inlay on the frame sides. Walnut frame + maple inlay logo/pattern. Laser-engrave your maker's mark.</t>
  </si>
  <si>
    <t>4. SCALE VARIANTS: Offer C Major Pentatonic (bright), D Minor Pentatonic (warm/bluesy), and A Minor Pentatonic (mellow). Same 10-bar count, different note selection.</t>
  </si>
  <si>
    <t>5. MALLETS: Include a pair of rubber-tipped mallets. Wooden dowel + rubber ball end. CNC-turn the handles for a premium feel. Costs &lt;$5/pair.</t>
  </si>
  <si>
    <t>6. DISPLAY: Build a tiered display stand that holds 3-4 glockenspiels at playing height. Customers play them = instant attraction = sales.</t>
  </si>
  <si>
    <t>7. UPSELL: Pentatonic → Full Chromatic. Customer buys the 10-bar at the fair, orders the 25-bar from your website. The bars are the same stock.</t>
  </si>
  <si>
    <t>8. SOUND GARDEN: A large outdoor version with thicker aluminum bars (3/8") on a weatherproof CNC cedar frame. Permanent installation at schools/parks.</t>
  </si>
  <si>
    <t>9. ALTERNATIVE PENTATONIC SCALES:</t>
  </si>
  <si>
    <t xml:space="preserve">   C Major Pent: C-D-E-G-A (bright, happy) — MIDI: 72,74,76,79,81 / 84,86,88,91,93</t>
  </si>
  <si>
    <t xml:space="preserve">   D Minor Pent: D-F-G-A-C (warm, bluesy) — MIDI: 74,77,79,81,84 / 86,89,91,93,96</t>
  </si>
  <si>
    <t xml:space="preserve">   A Minor Pent: A-C-D-E-G (mellow, meditative) — MIDI: 69,72,74,76,79 / 81,84,86,88,91</t>
  </si>
  <si>
    <t xml:space="preserve">   G Major Pent: G-A-B-D-E (folk, Celtic feel) — MIDI: 79,81,83,86,88 / 91,93,95,98,100</t>
  </si>
  <si>
    <t>10. To switch scales: just change the MIDI numbers in C94:C103. All lengths, node holes, and stock estimates update automatically.</t>
  </si>
  <si>
    <t>Rainstick — Spiral Baffle Granular Flow Percussion</t>
  </si>
  <si>
    <t>Chilean origin · Gravity-driven cascading fill through pin/spiral baffles · Sound duration = f(length, pin density, fill material, tube ID)</t>
  </si>
  <si>
    <t>← Longer = longer rain duration</t>
  </si>
  <si>
    <t>Tube Outer Diam (in)</t>
  </si>
  <si>
    <t>← 2-4" typical; wider = deeper/louder</t>
  </si>
  <si>
    <t>Tube Wall Thickness (in)</t>
  </si>
  <si>
    <t>Tube Inner Diam (in)</t>
  </si>
  <si>
    <t>Tube Material</t>
  </si>
  <si>
    <t>Clear Polycarbonate</t>
  </si>
  <si>
    <t>← See tube material library below</t>
  </si>
  <si>
    <t>Pin/Dowel Diameter (in)</t>
  </si>
  <si>
    <t>← 3/16" dowel (spiral) or 18ga brad nail (pin)</t>
  </si>
  <si>
    <t>Spiral Pitch (in)</t>
  </si>
  <si>
    <t>← Tighter pitch = longer duration</t>
  </si>
  <si>
    <t>Fill Material</t>
  </si>
  <si>
    <t>Glass Microbeads</t>
  </si>
  <si>
    <t>← See fill material library below</t>
  </si>
  <si>
    <t>Fill Volume (% of tube)</t>
  </si>
  <si>
    <t>← ~10% is standard; more = louder but shorter</t>
  </si>
  <si>
    <t>End Cap Style</t>
  </si>
  <si>
    <t>Turned walnut</t>
  </si>
  <si>
    <t>← Lathe-turned, plywood disc, or 3D printed</t>
  </si>
  <si>
    <t>Construction Method</t>
  </si>
  <si>
    <t>Spiral Dowel (photo reference)</t>
  </si>
  <si>
    <t>← See methods comparison below</t>
  </si>
  <si>
    <t>SIZE &amp; DURATION CALCULATOR</t>
  </si>
  <si>
    <t>Tube cross-section area (in²)</t>
  </si>
  <si>
    <t>Tube volume (in³)</t>
  </si>
  <si>
    <t>Fill volume (in³)</t>
  </si>
  <si>
    <t># of spiral turns</t>
  </si>
  <si>
    <t># of pins/dowels</t>
  </si>
  <si>
    <t>Total dowel length needed (in)</t>
  </si>
  <si>
    <t>Spiral path length (in)</t>
  </si>
  <si>
    <t>Est. sound duration (sec)</t>
  </si>
  <si>
    <t>← Approximate — test and adjust fill amount</t>
  </si>
  <si>
    <t>Length</t>
  </si>
  <si>
    <t>Diam</t>
  </si>
  <si>
    <t>Spiral Turns</t>
  </si>
  <si>
    <t>Est. Duration</t>
  </si>
  <si>
    <t>Mini</t>
  </si>
  <si>
    <t>12"</t>
  </si>
  <si>
    <t>2"</t>
  </si>
  <si>
    <t>~30 sec</t>
  </si>
  <si>
    <t>Kids, gifts, art fair entry-level</t>
  </si>
  <si>
    <t>Small</t>
  </si>
  <si>
    <t>24"</t>
  </si>
  <si>
    <t>~1.5 min</t>
  </si>
  <si>
    <t>Tabletop, classroom, starter</t>
  </si>
  <si>
    <t>~3 min</t>
  </si>
  <si>
    <t>Performance, sound healing, meditation</t>
  </si>
  <si>
    <t>Large</t>
  </si>
  <si>
    <t>48"</t>
  </si>
  <si>
    <t>~8 min</t>
  </si>
  <si>
    <t>Sound baths, studio, yoga</t>
  </si>
  <si>
    <t>XL</t>
  </si>
  <si>
    <t>60"</t>
  </si>
  <si>
    <t>~18-20 min</t>
  </si>
  <si>
    <t>Sleep aid, continuous meditation, premium</t>
  </si>
  <si>
    <t>CONSTRUCTION METHODS</t>
  </si>
  <si>
    <t>Baffle Type</t>
  </si>
  <si>
    <t>How Baffles Are Inserted</t>
  </si>
  <si>
    <t>Tony's Tools</t>
  </si>
  <si>
    <t>1. Spiral Dowel ⭐</t>
  </si>
  <si>
    <t>Clear poly tube</t>
  </si>
  <si>
    <t>Birch dowels through drilled holes in spiral pattern</t>
  </si>
  <si>
    <t>Drill holes in spiral on drill press jig; push dowels through</t>
  </si>
  <si>
    <t>Visible cascade (clear tube!); long duration; adjustable density</t>
  </si>
  <si>
    <t>Many holes to drill; alignment critical</t>
  </si>
  <si>
    <t>✅ Drill press + jig</t>
  </si>
  <si>
    <t>2. CNC-Drilled Pin</t>
  </si>
  <si>
    <t>Wood tube (split-blank) or bamboo</t>
  </si>
  <si>
    <t>Hardwood pins or brad nails through CNC-drilled spiral holes</t>
  </si>
  <si>
    <t>CNC spiral hole pattern on ShopBot; split-blank glue-up; insert pins</t>
  </si>
  <si>
    <t>Precise spacing; repeatable; wood tube = warm tone</t>
  </si>
  <si>
    <t>Requires split-blank technique; pins hidden inside</t>
  </si>
  <si>
    <t>✅ ShopBot CNC</t>
  </si>
  <si>
    <t>3. Lathe-Turned Spiral</t>
  </si>
  <si>
    <t>Solid wood blank</t>
  </si>
  <si>
    <t>Internal spiral groove turned/routed inside split blank</t>
  </si>
  <si>
    <t>Turn blank on lathe; split; CNC route spiral channel in each half; re-glue</t>
  </si>
  <si>
    <t>Beautiful solid wood exterior; laser engrave/CNC inlay outside</t>
  </si>
  <si>
    <t>Most complex; limited to lathe swing diameter</t>
  </si>
  <si>
    <t>✅ Lathe + CNC</t>
  </si>
  <si>
    <t>4. Traditional Cactus</t>
  </si>
  <si>
    <t>Dried cactus husk</t>
  </si>
  <si>
    <t>Natural cactus thorns pushed inward</t>
  </si>
  <si>
    <t>Thorns pushed through holes in dried cactus shell</t>
  </si>
  <si>
    <t>Most authentic; natural material; cultural provenance</t>
  </si>
  <si>
    <t>Cactus hard to source; fragile; variable quality</t>
  </si>
  <si>
    <t>⚠️ Source cactus husks</t>
  </si>
  <si>
    <t>5. Bamboo + Nail</t>
  </si>
  <si>
    <t>Bamboo culm</t>
  </si>
  <si>
    <t>Nails/pins hammered through bamboo wall in spiral</t>
  </si>
  <si>
    <t>Mark spiral pattern; drill pilot holes; hammer nails from outside</t>
  </si>
  <si>
    <t>Cheapest; quick; good tone from bamboo resonance</t>
  </si>
  <si>
    <t>Nail tips visible outside; bamboo can split</t>
  </si>
  <si>
    <t>✅ Hammer + drill</t>
  </si>
  <si>
    <t>6. Cardboard + Foil</t>
  </si>
  <si>
    <t>Mailing tube</t>
  </si>
  <si>
    <t>Crumpled aluminum foil coil or toothpicks</t>
  </si>
  <si>
    <t>Crumple foil into loose spiral; insert into tube</t>
  </si>
  <si>
    <t>Zero tools; great for kids/workshops; disposable</t>
  </si>
  <si>
    <t>Not durable; muffled tone; not sellable</t>
  </si>
  <si>
    <t>✅ Scissors only</t>
  </si>
  <si>
    <t>FILL MATERIAL LIBRARY</t>
  </si>
  <si>
    <t>Sound Character</t>
  </si>
  <si>
    <t>Volume</t>
  </si>
  <si>
    <t>Duration Effect</t>
  </si>
  <si>
    <t>Humidity OK?</t>
  </si>
  <si>
    <t>Medium, steady rain</t>
  </si>
  <si>
    <t>Standard baseline</t>
  </si>
  <si>
    <t>❌ Clumps in humidity</t>
  </si>
  <si>
    <t>Shimmer as they descend in clear tube; most commercial choice</t>
  </si>
  <si>
    <t>Amaranth Seeds</t>
  </si>
  <si>
    <t>Gentle, soft whisper</t>
  </si>
  <si>
    <t>Quiet</t>
  </si>
  <si>
    <t>Slightly longer (lighter)</t>
  </si>
  <si>
    <t>✅ Yes</t>
  </si>
  <si>
    <t>Organic; 4M seeds in XL; best for sleep aid / meditation</t>
  </si>
  <si>
    <t>Crystalline Beads</t>
  </si>
  <si>
    <t>Bright, sparkly rain</t>
  </si>
  <si>
    <t>Loud</t>
  </si>
  <si>
    <t>Slightly shorter (heavier)</t>
  </si>
  <si>
    <t>Visible in clear tube; most energetic sound</t>
  </si>
  <si>
    <t>Dried Rice</t>
  </si>
  <si>
    <t>Crisp, percussive patter</t>
  </si>
  <si>
    <t>Medium-Loud</t>
  </si>
  <si>
    <t>❌ Can swell</t>
  </si>
  <si>
    <t>Cheapest; good for prototyping; replace with beads for production</t>
  </si>
  <si>
    <t>Dried Lentils/Beans</t>
  </si>
  <si>
    <t>Deep, earthy thuds</t>
  </si>
  <si>
    <t>Shorter (heavy)</t>
  </si>
  <si>
    <t>❌ Can sprout</t>
  </si>
  <si>
    <t>Larger = fewer impacts = more individual drops vs continuous rain</t>
  </si>
  <si>
    <t>Small Pebbles/Gravel</t>
  </si>
  <si>
    <t>Heavy rain, thunderstorm</t>
  </si>
  <si>
    <t>Very Loud</t>
  </si>
  <si>
    <t>Shortest</t>
  </si>
  <si>
    <t>Most traditional (Chilean); best for outdoor/performance</t>
  </si>
  <si>
    <t>Fine Sand</t>
  </si>
  <si>
    <t>Continuous white noise hiss</t>
  </si>
  <si>
    <t>Quiet-Medium</t>
  </si>
  <si>
    <t>Longest (slowest flow)</t>
  </si>
  <si>
    <t>❌ Clumps</t>
  </si>
  <si>
    <t>Not individual drops — more like wind/ocean; requires very tight pin spacing</t>
  </si>
  <si>
    <t>Mixed (beads + seeds)</t>
  </si>
  <si>
    <t>Layered: bright impacts + soft background</t>
  </si>
  <si>
    <t>Depends on mix</t>
  </si>
  <si>
    <t>Experiment! 70% amaranth + 30% glass beads = nuanced texture</t>
  </si>
  <si>
    <t>TUBE MATERIAL OPTIONS</t>
  </si>
  <si>
    <t>OD Range</t>
  </si>
  <si>
    <t>Tone</t>
  </si>
  <si>
    <t>Visual</t>
  </si>
  <si>
    <t>Clear Polycarbonate ⭐</t>
  </si>
  <si>
    <t>2-4"</t>
  </si>
  <si>
    <t>Neutral, clean</t>
  </si>
  <si>
    <t>See-through! Cascade visible; laser engrave exterior</t>
  </si>
  <si>
    <t>TAP Plastics, McMaster-Carr</t>
  </si>
  <si>
    <t>Bamboo Culm</t>
  </si>
  <si>
    <t>2-3" natural</t>
  </si>
  <si>
    <t>Warm, woody resonance</t>
  </si>
  <si>
    <t>Natural; burn/carve/paint exterior</t>
  </si>
  <si>
    <t>Garden supply; import</t>
  </si>
  <si>
    <t>PVC Pipe</t>
  </si>
  <si>
    <t>2-4" standard</t>
  </si>
  <si>
    <t>Plastic, flat</t>
  </si>
  <si>
    <t>Can be painted/wrapped; cheapest option</t>
  </si>
  <si>
    <t>Any hardware store</t>
  </si>
  <si>
    <t>Copper Pipe</t>
  </si>
  <si>
    <t>2-3" type M</t>
  </si>
  <si>
    <t>Bright, metallic shimmer</t>
  </si>
  <si>
    <t>Beautiful patina over time; laser engrave</t>
  </si>
  <si>
    <t>Plumbing supply; expensive</t>
  </si>
  <si>
    <t>Turned Wood (split-blank)</t>
  </si>
  <si>
    <t>2-4" custom</t>
  </si>
  <si>
    <t>Warm, deep, resonant</t>
  </si>
  <si>
    <t>CNC inlay exterior; most premium</t>
  </si>
  <si>
    <t>Your shop! Walnut, Cherry, Maple</t>
  </si>
  <si>
    <t>Cardboard Mailing Tube</t>
  </si>
  <si>
    <t>2-3"</t>
  </si>
  <si>
    <t>Muffled, soft</t>
  </si>
  <si>
    <t>Decorate/wrap; kids workshops only</t>
  </si>
  <si>
    <t>Office supply; free from recycling</t>
  </si>
  <si>
    <t>BILL OF MATERIALS (Standard 36×3" Spiral Dowel)</t>
  </si>
  <si>
    <t>Clear polycarbonate tube</t>
  </si>
  <si>
    <t>3" OD x 1/8" wall x 36" long</t>
  </si>
  <si>
    <t>TAP Plastics, McMaster</t>
  </si>
  <si>
    <t>$25-45</t>
  </si>
  <si>
    <t>Birch dowels (baffles)</t>
  </si>
  <si>
    <t>3/16" diam x 2.75" long (tube ID)</t>
  </si>
  <si>
    <t>Craft supply; cut from 36" dowel stock</t>
  </si>
  <si>
    <t>Glass microbeads</t>
  </si>
  <si>
    <t>~1mm diameter, clear or colored</t>
  </si>
  <si>
    <t>Amazon, craft supply, Rainstick Dreams</t>
  </si>
  <si>
    <t>End caps (pair)</t>
  </si>
  <si>
    <t>Lathe-turned walnut, 3" diam x 1" thick</t>
  </si>
  <si>
    <t>Your lathe! Walnut/Cherry/Maple blank</t>
  </si>
  <si>
    <t>End cap adhesive</t>
  </si>
  <si>
    <t>Clear silicone or E6000</t>
  </si>
  <si>
    <t>Drill bit for pin holes</t>
  </si>
  <si>
    <t>3/16" brad point (match dowel diam)</t>
  </si>
  <si>
    <t>Already in shop</t>
  </si>
  <si>
    <t>$0-5</t>
  </si>
  <si>
    <t>Spiral jig template</t>
  </si>
  <si>
    <t>Laser-cut acrylic wrap template with hole marks</t>
  </si>
  <si>
    <t>Epilog laser cutter at Maker Nexus</t>
  </si>
  <si>
    <t>Satin polyurethane or tung oil (wood caps only)</t>
  </si>
  <si>
    <t>$51-103</t>
  </si>
  <si>
    <t>BUILD METHOD (Spiral Dowel in Clear Tube)</t>
  </si>
  <si>
    <t>Key Details</t>
  </si>
  <si>
    <t>Template</t>
  </si>
  <si>
    <t>Create spiral hole template</t>
  </si>
  <si>
    <t>Laser cutter or paper + ruler</t>
  </si>
  <si>
    <t>Wrap-around template: mark hole positions in spiral at pitch spacing. Laser-cut acrylic = reusable.</t>
  </si>
  <si>
    <t>Wrap template around tube; mark all hole positions</t>
  </si>
  <si>
    <t>Tape, fine-tip marker</t>
  </si>
  <si>
    <t>Tape template tightly to tube. Transfer marks through holes with marker. Remove template.</t>
  </si>
  <si>
    <t>Drilling</t>
  </si>
  <si>
    <t>Drill spiral holes through tube wall</t>
  </si>
  <si>
    <t>Drill press + V-block jig</t>
  </si>
  <si>
    <t>Clamp tube in V-block. Brad point bit at tube OD mark. Go slow on poly — melts if too fast.</t>
  </si>
  <si>
    <t>Deburr all holes inside and out</t>
  </si>
  <si>
    <t>Deburr tool, sandpaper</t>
  </si>
  <si>
    <t>Critical: burrs will snag fill material. Sand smooth on both sides.</t>
  </si>
  <si>
    <t>Baffles</t>
  </si>
  <si>
    <t>Cut dowels to tube ID length</t>
  </si>
  <si>
    <t>Miter saw, stop block</t>
  </si>
  <si>
    <t>Cut all 48 dowels to 2.75" (tube ID). Light sand ends.</t>
  </si>
  <si>
    <t>Insert dowels through holes from outside</t>
  </si>
  <si>
    <t>Fingers, rubber mallet</t>
  </si>
  <si>
    <t>Push each dowel through until flush on far side. Friction fit — no glue needed.</t>
  </si>
  <si>
    <t>Trim any dowel overshoot flush with tube exterior</t>
  </si>
  <si>
    <t>Flush-cut saw, sandpaper</t>
  </si>
  <si>
    <t>Sand flush so tube rolls smooth. Optional: tiny drop of CA glue on each end.</t>
  </si>
  <si>
    <t>Turn or cut end caps on lathe</t>
  </si>
  <si>
    <t>Wood lathe, 3" round blank</t>
  </si>
  <si>
    <t>Turn walnut disc with 0.25" rabbet to fit inside tube ID. Sand smooth. Repeat x2.</t>
  </si>
  <si>
    <t>Glue bottom cap permanently; let cure</t>
  </si>
  <si>
    <t>Silicone adhesive, clamp</t>
  </si>
  <si>
    <t>Seal watertight. Let cure 24h. This end stays sealed forever.</t>
  </si>
  <si>
    <t>Fill</t>
  </si>
  <si>
    <t>Add fill material through open top; test sound</t>
  </si>
  <si>
    <t>Measuring cup, hand</t>
  </si>
  <si>
    <t>Start with 1/10 of tube volume. Tilt, listen. Add more for louder; less for longer duration.</t>
  </si>
  <si>
    <t>Seal top cap; final test</t>
  </si>
  <si>
    <t>Once happy with sound, glue top cap. This is permanent — get the fill right first!</t>
  </si>
  <si>
    <t>Finish end caps; optional laser engrave tube</t>
  </si>
  <si>
    <t>Finish, Epilog laser</t>
  </si>
  <si>
    <t>Tung oil on wood caps. Laser engrave pattern/logo on clear tube exterior. Clean.</t>
  </si>
  <si>
    <t>1. SOUND DURATION is controlled by 3 factors: (a) tube length (more path), (b) pin density/spiral pitch (more baffles = slower), (c) fill material (lighter = slower).</t>
  </si>
  <si>
    <t>2. The photo reference shows a SPIRAL DOWEL design in a clear tube — this is the Rainstick Dreams / Noah Rectenwald style. Birch dowels, plywood discs, clear poly tube.</t>
  </si>
  <si>
    <t>3. CLEAR TUBE is the premium move: customers can SEE the cascade. This is the art fair wow factor. Laser-engrave a pattern on the outside for branding.</t>
  </si>
  <si>
    <t>4. WOOD TUBE UPGRADE: Split-blank on lathe (like your Didgeridoo), CNC route internal spiral channel in each half, re-glue. Add CNC inlay on exterior. Most premium option.</t>
  </si>
  <si>
    <t>5. ART FAIR PRICING: Mini (12") = $25-35, Small (24") = $45-65, Standard (36") = $75-120, Large (48") = $120-180. Material costs are LOW — labor is the main cost.</t>
  </si>
  <si>
    <t>6. FILL AMOUNT MATTERS: too much fill = loud but short; too little = quiet and long. Start at 10% volume, test, adjust before sealing. This is the main tuning step.</t>
  </si>
  <si>
    <t>7. LASER ETCH IDEAS: nature patterns (rain drops, waves, ferns), geometric mandala, sound wave visualization, customer name/date for custom orders.</t>
  </si>
  <si>
    <t>8. SERIES CONCEPT: Offer a matched set of Mini + Standard + Large in the same tube material with graduated fill types (rice → beads → amaranth) for a sound therapy kit.</t>
  </si>
  <si>
    <t>9. CNC PIN METHOD: For wood tube rainsticks, use the ShopBot to drill the spiral hole pattern. Create a SolidWorks parametric model with spiral pitch as a variable.</t>
  </si>
  <si>
    <t>10. CROSSOVER WITH OTHER INSTRUMENTS: A rainstick + your pentatonic glockenspiel + a tongue drum = complete art fair sound healing kit. Bundle for $200-300.</t>
  </si>
  <si>
    <t>Ocarina — Helmholtz Vessel Flute + Ceramic Slip Casting Workflow</t>
  </si>
  <si>
    <t>12-Hole Transverse · Helmholtz Resonator: f = (c/2π)√(S/(V×L_eff)) · Pitch = f(open hole area / chamber volume) · 3D Print → Plaster Mold → Slip Cast</t>
  </si>
  <si>
    <t>Ocarina Type</t>
  </si>
  <si>
    <t>Alto C (12-hole)</t>
  </si>
  <si>
    <t>← Most popular; good range, comfortable size</t>
  </si>
  <si>
    <t>Chamber Volume (cm³)</t>
  </si>
  <si>
    <t>← Measured by water fill; 130 cm³ typical for Alto C</t>
  </si>
  <si>
    <t>Wall Thickness (cm)</t>
  </si>
  <si>
    <t>← 3-5 mm; thinner = brighter; thicker = warmer</t>
  </si>
  <si>
    <t>Voicing Window W (cm)</t>
  </si>
  <si>
    <t>← Width of the fipple windway opening</t>
  </si>
  <si>
    <t>Voicing Window H (cm)</t>
  </si>
  <si>
    <t>← Height of the fipple windway opening</t>
  </si>
  <si>
    <t>Voicing Area (cm²)</t>
  </si>
  <si>
    <t>← = W × H (formula)</t>
  </si>
  <si>
    <t>Speed of Sound (cm/s)</t>
  </si>
  <si>
    <t>← 343 m/s at 20°C; warm breath ≈ 35000</t>
  </si>
  <si>
    <t>Number of Finger Holes</t>
  </si>
  <si>
    <t>Clay Body</t>
  </si>
  <si>
    <t>Stoneware (Cone 6)</t>
  </si>
  <si>
    <t>← Stoneware, porcelain, or earthenware</t>
  </si>
  <si>
    <t>Shrinkage Rate (%)</t>
  </si>
  <si>
    <t>← 10-15% typical; measure YOUR clay body</t>
  </si>
  <si>
    <t>Target Low Note</t>
  </si>
  <si>
    <t>A4 (440 Hz)</t>
  </si>
  <si>
    <t>Target High Note</t>
  </si>
  <si>
    <t>F6 (1397 Hz)</t>
  </si>
  <si>
    <t>OCARINA SIZE LIBRARY</t>
  </si>
  <si>
    <t>Vol (cm³)</t>
  </si>
  <si>
    <t>Holes</t>
  </si>
  <si>
    <t>Soprano G</t>
  </si>
  <si>
    <t>G5-E7</t>
  </si>
  <si>
    <t>Bright, piccolo-like; tiny</t>
  </si>
  <si>
    <t>Soprano F</t>
  </si>
  <si>
    <t>F5-D7</t>
  </si>
  <si>
    <t>High, sweet tone</t>
  </si>
  <si>
    <t>Soprano C</t>
  </si>
  <si>
    <t>C5-A6</t>
  </si>
  <si>
    <t>Good starter size</t>
  </si>
  <si>
    <t>Alto C ⭐</t>
  </si>
  <si>
    <t>A4-F6</t>
  </si>
  <si>
    <t>MOST POPULAR; rich tone; art fair best seller</t>
  </si>
  <si>
    <t>Alto G</t>
  </si>
  <si>
    <t>G4-E6</t>
  </si>
  <si>
    <t>Warm, mellow; orchestra sub-bass</t>
  </si>
  <si>
    <t>Alto F</t>
  </si>
  <si>
    <t>F4-D6</t>
  </si>
  <si>
    <t>Deep, breathy; large hands needed</t>
  </si>
  <si>
    <t>Bass C</t>
  </si>
  <si>
    <t>C4-A5</t>
  </si>
  <si>
    <t>Very deep; requires strong breath; impressive</t>
  </si>
  <si>
    <t>HELMHOLTZ CALCULATOR — Lowest Note (All Holes Closed)</t>
  </si>
  <si>
    <t>Voicing Area S (cm²)</t>
  </si>
  <si>
    <t>End Correction (cm)</t>
  </si>
  <si>
    <t>Effective Neck Length L_eff (cm)</t>
  </si>
  <si>
    <t>← Adjust voicing area and volume to hit target low note</t>
  </si>
  <si>
    <t>Cents from Target A4</t>
  </si>
  <si>
    <t>cents (0 = perfect A4; negative = flat)</t>
  </si>
  <si>
    <t>12-HOLE FINGERING CHART — Hole Sizes &amp; Calculated Frequencies</t>
  </si>
  <si>
    <t>← Hole diameters (column C) are BLUE INPUTS. Adjust to tune each note. Open holes cumulatively from bottom.</t>
  </si>
  <si>
    <t>Hole Ø (mm)</t>
  </si>
  <si>
    <t>Hole Area (cm²)</t>
  </si>
  <si>
    <t>Cum. Open Area</t>
  </si>
  <si>
    <t>Calc Freq (Hz)</t>
  </si>
  <si>
    <t>Target Freq</t>
  </si>
  <si>
    <t>A4 (all closed)</t>
  </si>
  <si>
    <t>R pinky</t>
  </si>
  <si>
    <t>R ring</t>
  </si>
  <si>
    <t>R middle</t>
  </si>
  <si>
    <t>R index</t>
  </si>
  <si>
    <t>L pinky</t>
  </si>
  <si>
    <t>L ring</t>
  </si>
  <si>
    <t>L middle</t>
  </si>
  <si>
    <t>L index</t>
  </si>
  <si>
    <t>R sub-hole</t>
  </si>
  <si>
    <t>L sub-hole</t>
  </si>
  <si>
    <t>R thumb</t>
  </si>
  <si>
    <t>A5+</t>
  </si>
  <si>
    <t>L thumb</t>
  </si>
  <si>
    <t>CERAMIC WORKFLOW — 3D Print → Plaster Mold → Slip Cast</t>
  </si>
  <si>
    <t>Tools / Materials</t>
  </si>
  <si>
    <t>Key Notes</t>
  </si>
  <si>
    <t>Model ocarina body in SolidWorks as 2-piece split (top + bottom halves)</t>
  </si>
  <si>
    <t>SolidWorks / Fusion 360</t>
  </si>
  <si>
    <t>Scale UP by shrinkage factor (e.g. 112% for 12% shrinkage). Include fipple channel in top half.</t>
  </si>
  <si>
    <t>3D Print</t>
  </si>
  <si>
    <t>Print positive master (both halves) on FDM or resin printer</t>
  </si>
  <si>
    <t>FDM printer + PLA, or resin SLA</t>
  </si>
  <si>
    <t>Sand smooth to remove layer lines. Seal with lacquer or shellac.</t>
  </si>
  <si>
    <t>Mold Making</t>
  </si>
  <si>
    <t>Embed 3D print in plaster to create 2-part press mold (one for each half)</t>
  </si>
  <si>
    <t>Pottery plaster (#1), mold soap, cottle boards</t>
  </si>
  <si>
    <t>Plaster thickness 1.5-2 in around print. Dry 3+ days before use.</t>
  </si>
  <si>
    <t>Press Mold</t>
  </si>
  <si>
    <t>Press clay slabs into each mold half. Score edges, apply slip, join halves.</t>
  </si>
  <si>
    <t>Stoneware clay, slip, scoring tool</t>
  </si>
  <si>
    <t>Consistent wall thickness = consistent pitch. Target 4mm walls.</t>
  </si>
  <si>
    <t>Fipple</t>
  </si>
  <si>
    <t>Carve windway and labium (sound edge) into the mouthpiece area</t>
  </si>
  <si>
    <t>Needle tool, loop tool</t>
  </si>
  <si>
    <t>THE critical step. 45° labium angle. Windway 1-2mm gap. Test blow before drying.</t>
  </si>
  <si>
    <t>Punch finger holes using graduated drill bits or clay cutters</t>
  </si>
  <si>
    <t>Drill bits, hole punches, tuner</t>
  </si>
  <si>
    <t>Start SMALL — you can always enlarge. Use hole Ø from chart above. Tune wet.</t>
  </si>
  <si>
    <t>Dry</t>
  </si>
  <si>
    <t>Slow-dry in plastic bag for 3-7 days to prevent cracking</t>
  </si>
  <si>
    <t>Plastic bag, damp towel</t>
  </si>
  <si>
    <t>Even drying is critical — thin areas dry faster and crack.</t>
  </si>
  <si>
    <t>Bisque Fire</t>
  </si>
  <si>
    <t>Fire to Cone 06 (1828°F / 998°C) to harden clay body</t>
  </si>
  <si>
    <t>Kiln</t>
  </si>
  <si>
    <t>Clay shrinks to final size here. Pitch may shift — re-tune holes after.</t>
  </si>
  <si>
    <t>Fine-tune each hole with diamond file or Dremel. Check with chromatic tuner.</t>
  </si>
  <si>
    <t>Diamond needle files, Dremel, tuner</t>
  </si>
  <si>
    <t>Enlarge holes to raise pitch (sharpen). Can add clay slip to shrink (flatten).</t>
  </si>
  <si>
    <t>Glaze</t>
  </si>
  <si>
    <t>Apply glaze to exterior only. Keep interior, holes, and fipple unglazed.</t>
  </si>
  <si>
    <t>Glaze, brush, wax resist</t>
  </si>
  <si>
    <t>Wax resist on holes + fipple BEFORE glazing. Glaze changes hole size slightly.</t>
  </si>
  <si>
    <t>Glaze Fire</t>
  </si>
  <si>
    <t>Fire to Cone 6 (2232°F / 1222°C) for stoneware; Cone 10 for porcelain</t>
  </si>
  <si>
    <t>Final shrinkage here. Re-check tuning after — may need very fine adjustment.</t>
  </si>
  <si>
    <t>Last tuning pass with diamond files if needed</t>
  </si>
  <si>
    <t>Diamond files, tuner</t>
  </si>
  <si>
    <t>The fired ceramic is much harder to file — go slowly. Most ocarinas need this.</t>
  </si>
  <si>
    <t>3D print filament (master)</t>
  </si>
  <si>
    <t>~50g</t>
  </si>
  <si>
    <t>PLA or resin</t>
  </si>
  <si>
    <t>2-piece split master; sand and seal</t>
  </si>
  <si>
    <t>$2-5</t>
  </si>
  <si>
    <t>Pottery plaster (#1)</t>
  </si>
  <si>
    <t>10 lbs</t>
  </si>
  <si>
    <t>USG #1 Pottery Plaster</t>
  </si>
  <si>
    <t>Makes 2-3 mold sets; each set lasts 50-100 casts</t>
  </si>
  <si>
    <t>Stoneware slip or clay body</t>
  </si>
  <si>
    <t>25 lbs</t>
  </si>
  <si>
    <t>Cone 6 stoneware</t>
  </si>
  <si>
    <t>~0.5 lb per ocarina; 25 lbs = 50+ ocarinas</t>
  </si>
  <si>
    <t>$20-35</t>
  </si>
  <si>
    <t>Glazes (assorted)</t>
  </si>
  <si>
    <t>3-5 pints</t>
  </si>
  <si>
    <t>Cone 6 food-safe glazes</t>
  </si>
  <si>
    <t>Exterior decoration; multiple colors for variety</t>
  </si>
  <si>
    <t>Diamond needle files</t>
  </si>
  <si>
    <t>Assorted shapes</t>
  </si>
  <si>
    <t>For post-fire hole tuning</t>
  </si>
  <si>
    <t>Clip-on or app</t>
  </si>
  <si>
    <t>Essential for hole tuning; need cent accuracy</t>
  </si>
  <si>
    <t>Mold soap / release</t>
  </si>
  <si>
    <t>Murphy's oil soap or mold soap</t>
  </si>
  <si>
    <t>Apply to 3D print before plaster pour</t>
  </si>
  <si>
    <t>Kiln firing (outsource)</t>
  </si>
  <si>
    <t>Per load</t>
  </si>
  <si>
    <t>Bisque + glaze fire</t>
  </si>
  <si>
    <t>Community kiln at Maker Nexus or ceramics studio</t>
  </si>
  <si>
    <t>$20-50/load</t>
  </si>
  <si>
    <t>ESTIMATED TOTAL (startup)</t>
  </si>
  <si>
    <t>$117-235</t>
  </si>
  <si>
    <t>Cost per ocarina (after startup)</t>
  </si>
  <si>
    <t>$3-8</t>
  </si>
  <si>
    <t>← Sell at $25-60 each at art fairs</t>
  </si>
  <si>
    <t>1. PITCH = OPEN AREA / VOLUME. Unlike flutes, hole LOCATION doesn't matter — only total open area. This is the Helmholtz advantage.</t>
  </si>
  <si>
    <t>2. Clay shrinkage changes volume AND hole sizes. Scale the 3D master UP by your shrinkage rate. Expect 2-3 iterations before good tuning.</t>
  </si>
  <si>
    <t>3. The fipple (windway + labium) is the hardest part. Practice on test pieces before committing to a glazed ocarina.</t>
  </si>
  <si>
    <t>4. Start holes SMALL and enlarge to tune. Easier to remove clay than add it. Diamond files after firing are your friend.</t>
  </si>
  <si>
    <t>5. Each mold set produces 50-100 ocarinas before wearing out. At $3-8 per piece and $25-60 selling price, the margins are excellent.</t>
  </si>
  <si>
    <t>6. ALTERNATIVE: Skip the mold entirely and hand-build (pinch pot method). Faster for prototyping, slower for production.</t>
  </si>
  <si>
    <t>7. Porcelain produces a brighter, more projecting tone than stoneware. But porcelain is harder to work with (more warping, higher shrinkage).</t>
  </si>
  <si>
    <t>8. The transparent glaze on exterior + unglazed interior is traditional. Some makers leave the whole exterior unglazed for a more earthy tone.</t>
  </si>
  <si>
    <t>9. ART FAIR PRICING: Alto C ocarina in glazed stoneware with custom artwork → $35-60. Soprano C (smaller, easier) → $25-40.</t>
  </si>
  <si>
    <t>10. SERIES CONCEPT: Offer 3 sizes (Soprano C, Alto C, Bass C) as a matched set with consistent glaze pattern. Premium gift box: $100-150.</t>
  </si>
  <si>
    <t>Ceramic Electric Violin — 3D Print → Plaster Mold → Slip Cast Body</t>
  </si>
  <si>
    <t>Electric only (no acoustic resonance needed) · Ceramic body = rigid piezo platform + art canvas · Wood neck + ebony fingerboard</t>
  </si>
  <si>
    <t>Body Style</t>
  </si>
  <si>
    <t>Sculptural frame (open cutaway)</t>
  </si>
  <si>
    <t>← No resonant box needed — piezo drives the sound</t>
  </si>
  <si>
    <t>← Chin to tailpiece; standard violin = 14"</t>
  </si>
  <si>
    <t>← Upper bout to lower bout max width</t>
  </si>
  <si>
    <t>Body Max Thickness (in)</t>
  </si>
  <si>
    <t>← At bridge mount area; thinner at edges</t>
  </si>
  <si>
    <t>Ceramic Wall Thickness (in)</t>
  </si>
  <si>
    <t>← 6-8 mm; thick enough for structural strength</t>
  </si>
  <si>
    <t>Porcelain (Cone 10)</t>
  </si>
  <si>
    <t>← Translucent when thin — glows under stage lights!</t>
  </si>
  <si>
    <t>Shrinkage (%)</t>
  </si>
  <si>
    <t>← Porcelain shrinks more than stoneware</t>
  </si>
  <si>
    <t>← Nut to bridge; standard 4/4 violin = 328mm / 12.9"</t>
  </si>
  <si>
    <t>G3-D4-A4-E5 (standard)</t>
  </si>
  <si>
    <t>Neck Material</t>
  </si>
  <si>
    <t>Hard Maple (wood)</t>
  </si>
  <si>
    <t>← Wood neck bolts into ceramic body; ceramic neck too fragile</t>
  </si>
  <si>
    <t>Ebony, radiused 42mm</t>
  </si>
  <si>
    <t>Under-bridge piezo (Fishman V-200)</t>
  </si>
  <si>
    <t>1/4" endpin jack + volume pot</t>
  </si>
  <si>
    <t>BODY DESIGN CONCEPTS</t>
  </si>
  <si>
    <t>Concept</t>
  </si>
  <si>
    <t>Weight</t>
  </si>
  <si>
    <t>A. Minimal Frame ⭐</t>
  </si>
  <si>
    <t>Thin ceramic frame follows violin silhouette outline only; open center. Like a CNC solid-body but ceramic.</t>
  </si>
  <si>
    <t>Light (1-2 lbs)</t>
  </si>
  <si>
    <t>B. Sculpted Shell</t>
  </si>
  <si>
    <t>Hollow ceramic shell mimics traditional violin shape with decorative cutaways/piercings.</t>
  </si>
  <si>
    <t>Medium (2-3 lbs)</t>
  </si>
  <si>
    <t>C. Organic / Abstract</t>
  </si>
  <si>
    <t>Free-form sculptural shape; flowing curves, nature-inspired (tree, wave, flame). Pure art piece.</t>
  </si>
  <si>
    <t>D. Hybrid Wood+Ceramic</t>
  </si>
  <si>
    <t>CNC wood core (maple) with ceramic face plates bolted on. Best of both worlds.</t>
  </si>
  <si>
    <t>CRITICAL ENGINEERING CONSTRAINTS</t>
  </si>
  <si>
    <t>Constraint</t>
  </si>
  <si>
    <t>Solution</t>
  </si>
  <si>
    <t>Why It Matters</t>
  </si>
  <si>
    <t>Neck-to-body joint</t>
  </si>
  <si>
    <t>Bolt-on wood neck into ceramic socket with threaded metal inserts (helicoils) cast into clay body</t>
  </si>
  <si>
    <t>Ceramic can't hold wood screws; needs metal inserts pre-fired into body</t>
  </si>
  <si>
    <t>String tension load</t>
  </si>
  <si>
    <t>~50 lbs total (4 strings). Route tension through wood neck + metal tailpiece anchor, NOT through ceramic body</t>
  </si>
  <si>
    <t>Ceramic is brittle under point loads; distribute force through metal hardware</t>
  </si>
  <si>
    <t>Bridge mounting</t>
  </si>
  <si>
    <t>Flat ceramic surface at bridge position with threaded inserts for adjustable bridge feet</t>
  </si>
  <si>
    <t>Piezo sits under bridge; surface must be dead flat for good contact</t>
  </si>
  <si>
    <t>Chin rest mount</t>
  </si>
  <si>
    <t>Integrated ceramic chin bump molded into body, OR standard clamp-on (use rubber padding)</t>
  </si>
  <si>
    <t>Clamping force on ceramic must be distributed; sharp metal clamps = cracks</t>
  </si>
  <si>
    <t>Drop / impact resistance</t>
  </si>
  <si>
    <t>Thicker walls (6-8 mm), internal ceramic ribs at stress points, padded case mandatory</t>
  </si>
  <si>
    <t>Ceramic WILL break if dropped. This is a performance instrument, not a practice tool</t>
  </si>
  <si>
    <t>Thermal shock</t>
  </si>
  <si>
    <t>Avoid extreme temperature changes; store in case; let acclimate before playing outdoors</t>
  </si>
  <si>
    <t>Sudden cold-to-hot can crack porcelain (less issue with stoneware)</t>
  </si>
  <si>
    <t>CERAMIC WORKFLOW — 3D Print → Mold → Slip/Press Cast</t>
  </si>
  <si>
    <t>CAD: Model body in SolidWorks as 2-piece split mold. Scale up 113% for porcelain shrinkage.</t>
  </si>
  <si>
    <t>CAD: Design helicoil insert sockets (neck mount, bridge, endpin, chin rest) as hollow cylinders in clay body.</t>
  </si>
  <si>
    <t>3D Print: Print positive master on FDM/SLA. Sand smooth, seal with lacquer. Split at midline.</t>
  </si>
  <si>
    <t>Mold: Cast 2-part plaster press mold around each half. Dry 5+ days (larger than ocarina = longer dry).</t>
  </si>
  <si>
    <t>Press: Press clay slabs into each mold half. Embed helicoil inserts before joining. Score + slip + join.</t>
  </si>
  <si>
    <t>Dry: Slow-dry 7-14 days in plastic. Ceramic violin body is large and uneven — cracking risk is HIGH.</t>
  </si>
  <si>
    <t>Bisque fire: Cone 06. Metal inserts survive this. Check all mounting points.</t>
  </si>
  <si>
    <t>Glaze: Full artistic freedom — this IS the instrument's visual identity. Multi-color, crystalline, raku, etc.</t>
  </si>
  <si>
    <t>Glaze fire: Cone 10 porcelain / Cone 6 stoneware. Final shrinkage. Verify neck socket dimensions.</t>
  </si>
  <si>
    <t>Assemble: Bolt wood neck, install bridge + piezo + electronics, string up, test.</t>
  </si>
  <si>
    <t>~200g PLA/resin</t>
  </si>
  <si>
    <t>Large body = more filament than ocarina</t>
  </si>
  <si>
    <t>20 lbs</t>
  </si>
  <si>
    <t>Larger mold than ocarina</t>
  </si>
  <si>
    <t>Porcelain slip/clay</t>
  </si>
  <si>
    <t>~3 lbs per body; allow for failures</t>
  </si>
  <si>
    <t>Glazes (premium)</t>
  </si>
  <si>
    <t>Crystalline / raku / multi-color</t>
  </si>
  <si>
    <t>This is the art; invest in quality glazes</t>
  </si>
  <si>
    <t>Wood neck blank</t>
  </si>
  <si>
    <t>Hard Maple 1.5x2.5x14 in</t>
  </si>
  <si>
    <t>CNC-shaped; same as existing Electric Violin sheet</t>
  </si>
  <si>
    <t>Ebony fingerboard</t>
  </si>
  <si>
    <t>1/4x1.25x11 in</t>
  </si>
  <si>
    <t>Pre-radiused 42mm at nut</t>
  </si>
  <si>
    <t>Helicoil threaded inserts</t>
  </si>
  <si>
    <t>6x M4 stainless</t>
  </si>
  <si>
    <t>Cast into ceramic body before firing</t>
  </si>
  <si>
    <t>Violin hardware set</t>
  </si>
  <si>
    <t>Pegs, bridge, tailpiece, nut, endpin</t>
  </si>
  <si>
    <t>Same as Electric Violin sheet</t>
  </si>
  <si>
    <t>Piezo pickup + preamp</t>
  </si>
  <si>
    <t>Fishman V-200 + jack</t>
  </si>
  <si>
    <t>Under-bridge contact piezo</t>
  </si>
  <si>
    <t>D'Addario Helicore or Dominant</t>
  </si>
  <si>
    <t>Standard 4/4 violin set</t>
  </si>
  <si>
    <t>Bisque + glaze (2 fires)</t>
  </si>
  <si>
    <t>Community kiln; Cone 10 for porcelain</t>
  </si>
  <si>
    <t>$250-485</t>
  </si>
  <si>
    <t>1. This is an ELECTRIC instrument — ceramic body is a rigid mounting platform + art canvas, NOT a resonant chamber.</t>
  </si>
  <si>
    <t>2. ALL string tension routes through wood neck and metal hardware. Ceramic body carries ZERO tensile load.</t>
  </si>
  <si>
    <t>3. Porcelain's translucency is the wow factor — backlit by stage lights, the body glows. Worth the extra difficulty.</t>
  </si>
  <si>
    <t>4. Weight: ~2-3 lbs for ceramic body + 1 lb neck + hardware = 3-4 lbs total. Comparable to wood electric violins.</t>
  </si>
  <si>
    <t>5. BREAKAGE RISK: Accept that your first 2-3 bodies may crack during drying or firing. Budget for iterations.</t>
  </si>
  <si>
    <t>6. Helicoil inserts must be placed BEFORE bisque firing. They become permanently embedded in the ceramic matrix.</t>
  </si>
  <si>
    <t>7. The wood neck can be identical to your existing Electric Violin CNC program — reuse the same SolidWorks model.</t>
  </si>
  <si>
    <t>8. HYBRID OPTION (Concept D): CNC walnut frame with bolt-on ceramic face plates. Safer, still stunning.</t>
  </si>
  <si>
    <t>9. Raku firing creates dramatic metallic/crackle glazes but makes the body more porous. Seal interior if using raku.</t>
  </si>
  <si>
    <t>10. PRICING: A ceramic electric violin with custom glaze is a $500-1500 art instrument. The story sells it.</t>
  </si>
  <si>
    <t>CERAMIC INSTRUMENTS (Claude-Built)</t>
  </si>
  <si>
    <t>Ocarina</t>
  </si>
  <si>
    <t>12-hole Alto C Helmholtz vessel flute, hole sizing calculator, 7 size library, ceramic slip cast workflow, art fair $25-60</t>
  </si>
  <si>
    <t>OCR-001</t>
  </si>
  <si>
    <t>Ceramic Electric Violin</t>
  </si>
  <si>
    <t>3D print→mold→slip cast porcelain body, wood neck, piezo, 4 body concepts, engineering constraints, $250-485</t>
  </si>
  <si>
    <t>CEV-001</t>
  </si>
  <si>
    <t>Udu Drum Family — Dual Helmholtz Ceramic Pot Drum</t>
  </si>
  <si>
    <t>Nigerian Igbo tradition · Slip cast or wheel thrown · Two openings = two Helmholtz bass tones · Idiophone + Aerophone hybrid</t>
  </si>
  <si>
    <t>DESIGN INPUTS — Medium (Standard) Udu</t>
  </si>
  <si>
    <t>Body Diameter (in)</t>
  </si>
  <si>
    <t>← Ovoid body widest point</t>
  </si>
  <si>
    <t>Body Height (in)</t>
  </si>
  <si>
    <t>← ~7-8mm; thicker = brighter tap, less bass</t>
  </si>
  <si>
    <t>Mouth Diameter (in)</t>
  </si>
  <si>
    <t>← Top opening; larger = higher Helmholtz tone</t>
  </si>
  <si>
    <t>Side Hole Diameter (in)</t>
  </si>
  <si>
    <t>← Slap hole; smaller = deeper bass pulse</t>
  </si>
  <si>
    <t>Shape Factor</t>
  </si>
  <si>
    <t>← 0.5=elongated, 0.7=ovoid, 0.9=spherical</t>
  </si>
  <si>
    <t>Cone 6 Stoneware</t>
  </si>
  <si>
    <t>Shrinkage %</t>
  </si>
  <si>
    <t>← Build oversized; shrinks to target after firing</t>
  </si>
  <si>
    <t>← Air at ~68°F (20°C)</t>
  </si>
  <si>
    <t>DUAL HELMHOLTZ RESONANCE — f = (c/2π) × √(A / (V × L_eff))</t>
  </si>
  <si>
    <t>Body Volume (in³)</t>
  </si>
  <si>
    <t>← = π/6 × D² × H × shape_factor</t>
  </si>
  <si>
    <t>Mouth Area (in²)</t>
  </si>
  <si>
    <t>Mouth L_eff (in)</t>
  </si>
  <si>
    <t>← wall + end correction</t>
  </si>
  <si>
    <t>Mouth Helmholtz Freq (Hz)</t>
  </si>
  <si>
    <t>Mouth Nearest Note</t>
  </si>
  <si>
    <t>Side Hole Area (in²)</t>
  </si>
  <si>
    <t>Side Hole L_eff (in)</t>
  </si>
  <si>
    <t>Side Hole Helmholtz Freq (Hz)</t>
  </si>
  <si>
    <t>Side Hole Nearest Note</t>
  </si>
  <si>
    <t>Interval (semitones)</t>
  </si>
  <si>
    <t>← Mouth is higher pitch; positive = mouth above side hole</t>
  </si>
  <si>
    <t>UDU FAMILY — 4 Sizes + 2 Variants</t>
  </si>
  <si>
    <t>Diam (in)</t>
  </si>
  <si>
    <t>Vol (in³)</t>
  </si>
  <si>
    <t>Mouth Hz</t>
  </si>
  <si>
    <t>Side Hz</t>
  </si>
  <si>
    <t>Bass Range</t>
  </si>
  <si>
    <t>Small (tabla-style)</t>
  </si>
  <si>
    <t>D#4 (311)</t>
  </si>
  <si>
    <t>A3 (223)</t>
  </si>
  <si>
    <t>A3–D#4</t>
  </si>
  <si>
    <t>Tabletop, small venues, high tones</t>
  </si>
  <si>
    <t>Medium (standard) ⭐</t>
  </si>
  <si>
    <t>B3 (249)</t>
  </si>
  <si>
    <t>G3 (192)</t>
  </si>
  <si>
    <t>G3–B3</t>
  </si>
  <si>
    <t>Most versatile; the classic Udu size</t>
  </si>
  <si>
    <t>Large (Nigerian)</t>
  </si>
  <si>
    <t>G#3 (207)</t>
  </si>
  <si>
    <t>D3 (144)</t>
  </si>
  <si>
    <t>D3–G#3</t>
  </si>
  <si>
    <t>Deep bass; traditional ceremonial size</t>
  </si>
  <si>
    <t>XL (concert bass)</t>
  </si>
  <si>
    <t>F3 (178)</t>
  </si>
  <si>
    <t>C3 (131)</t>
  </si>
  <si>
    <t>C3–F3</t>
  </si>
  <si>
    <t>Sub-bass; orchestra/studio, needs stand</t>
  </si>
  <si>
    <t>VARIANTS</t>
  </si>
  <si>
    <t>Utar (dual-chamber)</t>
  </si>
  <si>
    <t>Two connected pots</t>
  </si>
  <si>
    <t>Narrow neck joins two chambers</t>
  </si>
  <si>
    <t>Two different Helmholtz tones per chamber</t>
  </si>
  <si>
    <t>F#3 + D4 (large)</t>
  </si>
  <si>
    <t>Kim Kim (side hole)</t>
  </si>
  <si>
    <t>Spherical, side hole only</t>
  </si>
  <si>
    <t>No neck; just a round pot</t>
  </si>
  <si>
    <t>Simpler form, one dominant bass tone</t>
  </si>
  <si>
    <t>Igbo ceremonial</t>
  </si>
  <si>
    <t>Claytone (LP style)</t>
  </si>
  <si>
    <t>Elongated with long neck</t>
  </si>
  <si>
    <t>14" tall, neck adds overtones</t>
  </si>
  <si>
    <t>Commercial; chrome/terracotta glaze</t>
  </si>
  <si>
    <t>LP Percussion</t>
  </si>
  <si>
    <t>Udongo (Kenyan)</t>
  </si>
  <si>
    <t>Gourd-shaped</t>
  </si>
  <si>
    <t>Wider bottom, narrow top</t>
  </si>
  <si>
    <t>More body tap tones from thin walls</t>
  </si>
  <si>
    <t>East African</t>
  </si>
  <si>
    <t>Water Udu</t>
  </si>
  <si>
    <t>Partially water-filled</t>
  </si>
  <si>
    <t>Water changes volume = pitch bend</t>
  </si>
  <si>
    <t>Pitch shifts as you tilt — like a talking drum</t>
  </si>
  <si>
    <t>Iranian Kuzeh</t>
  </si>
  <si>
    <t>PLAYING TECHNIQUES — 5 Distinct Sounds from One Instrument</t>
  </si>
  <si>
    <t>Technique</t>
  </si>
  <si>
    <t>Sound</t>
  </si>
  <si>
    <t>Physics</t>
  </si>
  <si>
    <t>Pitch Range</t>
  </si>
  <si>
    <t>1. Mouth Slap (bass)</t>
  </si>
  <si>
    <t>Cup palm over mouth, slap and seal</t>
  </si>
  <si>
    <t>Deep "doom" — the signature Udu bass</t>
  </si>
  <si>
    <t>Helmholtz resonance of full cavity via mouth</t>
  </si>
  <si>
    <t>B3 (formula-calculated)</t>
  </si>
  <si>
    <t>2. Side Hole Pop</t>
  </si>
  <si>
    <t>Slap side hole with cupped hand, release</t>
  </si>
  <si>
    <t>"Plop" or "whoop" — pitch bends on release</t>
  </si>
  <si>
    <t>Helmholtz via smaller side opening</t>
  </si>
  <si>
    <t>G3 (formula-calculated)</t>
  </si>
  <si>
    <t>3. Body Tap (ceramic)</t>
  </si>
  <si>
    <t>Tap body surface with fingertips or knuckles</t>
  </si>
  <si>
    <t>Bright "tick" or "tock" — like a woodblock</t>
  </si>
  <si>
    <t>Shell vibration (idiophone); thinner wall = louder</t>
  </si>
  <si>
    <t>High (500-2000 Hz)</t>
  </si>
  <si>
    <t>4. Mouth Wah</t>
  </si>
  <si>
    <t>Slap mouth then slowly open/close hand</t>
  </si>
  <si>
    <t>Pitch bends up as hand opens — "wah-wah"</t>
  </si>
  <si>
    <t>Changing effective neck area in real time</t>
  </si>
  <si>
    <t>G3→B3 sweep</t>
  </si>
  <si>
    <t>5. Rim Roll</t>
  </si>
  <si>
    <t>Roll fingers rapidly around mouth rim</t>
  </si>
  <si>
    <t>Sustained resonant hum</t>
  </si>
  <si>
    <t>Exciting Helmholtz mode continuously</t>
  </si>
  <si>
    <t>At Helmholtz freq</t>
  </si>
  <si>
    <t>CERAMIC PRODUCTION — Slip Cast or Wheel Thrown</t>
  </si>
  <si>
    <t>Tony Feasibility</t>
  </si>
  <si>
    <t>Slip Casting (3D print master → plaster mold)</t>
  </si>
  <si>
    <t>Repeatable volume = consistent pitch; production scale</t>
  </si>
  <si>
    <t>2-piece mold needed; seam to finish; setup investment</t>
  </si>
  <si>
    <t>⭐ Best for family production</t>
  </si>
  <si>
    <t>Wheel Throwing (traditional)</t>
  </si>
  <si>
    <t>Authentic; unique each piece; no mold needed</t>
  </si>
  <si>
    <t>Volume varies = pitch varies; skill intensive</t>
  </si>
  <si>
    <t>✅ If you have wheel access</t>
  </si>
  <si>
    <t>Press Molding (2-part plaster)</t>
  </si>
  <si>
    <t>Faster than slip; good volume control</t>
  </si>
  <si>
    <t>Slab thickness harder to control vs slip</t>
  </si>
  <si>
    <t>✅ Good middle ground</t>
  </si>
  <si>
    <t>Coil Building (hand)</t>
  </si>
  <si>
    <t>No equipment; most artistic freedom</t>
  </si>
  <si>
    <t>Slowest; least repeatable; cracks at coil joins</t>
  </si>
  <si>
    <t>⚠️ For one-offs only</t>
  </si>
  <si>
    <t>SLIP CAST WORKFLOW (recommended for Udu family)</t>
  </si>
  <si>
    <t>1. CAD the Udu profile in SolidWorks (use design inputs above; scale UP by 1/(1-shrinkage))</t>
  </si>
  <si>
    <t>2. 3D print the master positive (2 halves split at equator, alignment pins)</t>
  </si>
  <si>
    <t>3. Build plaster cottle (box) around each half, pour #1 Pottery Plaster, cure 24-48 hrs</t>
  </si>
  <si>
    <t>4. Remove 3D print, dry mold 5-7 days. Mold = 2 halves that clamp together</t>
  </si>
  <si>
    <t>5. Pour slip into assembled mold. Drain after target wall thickness builds (~7mm = 15-20 min)</t>
  </si>
  <si>
    <t>6. Demold when leather-hard (~2 hrs). Clean seam with sponge + rib</t>
  </si>
  <si>
    <t>7. Cut side hole with hole cutter while leather-hard. Smooth edges</t>
  </si>
  <si>
    <t>8. Dry slowly (1-2 weeks under plastic, then uncovered). NO cracks allowed</t>
  </si>
  <si>
    <t>9. Bisque fire to Cone 06 (~1830F). Test pitch — this is your tuning checkpoint</t>
  </si>
  <si>
    <t>10. Tune: enlarge side hole to LOWER the Helmholtz bass (careful! can only remove material)</t>
  </si>
  <si>
    <t>11. Glaze exterior (leave inside unglazed for better resonance). Fire to Cone 6 (2230F)</t>
  </si>
  <si>
    <t>12. Final pitch check — glaze adds mass + stiffness, may shift pitch slightly</t>
  </si>
  <si>
    <t>Casting slip (Cone 6 stoneware)</t>
  </si>
  <si>
    <t>5 gal</t>
  </si>
  <si>
    <t>Commercial premixed; enough for 8-12 medium Udus</t>
  </si>
  <si>
    <t>$35-50</t>
  </si>
  <si>
    <t>#1 Pottery Plaster</t>
  </si>
  <si>
    <t>50 lbs</t>
  </si>
  <si>
    <t>For 2-part mold; 1 bag makes ~4 mold sets</t>
  </si>
  <si>
    <t>$25-35</t>
  </si>
  <si>
    <t>3D printed master (PLA)</t>
  </si>
  <si>
    <t>2 halves</t>
  </si>
  <si>
    <t>Scaled up by 1/(1-shrinkage); FDM fine, sand smooth</t>
  </si>
  <si>
    <t>Mold soap / release agent</t>
  </si>
  <si>
    <t>1 bottle</t>
  </si>
  <si>
    <t>Murphy's Oil Soap or commercial mold soap</t>
  </si>
  <si>
    <t>$8-12</t>
  </si>
  <si>
    <t>Hole cutter set</t>
  </si>
  <si>
    <t>1.5", 2", 2.5", 3" round cutters for leather-hard clay</t>
  </si>
  <si>
    <t>Kiln firing (per load)</t>
  </si>
  <si>
    <t>2 fires</t>
  </si>
  <si>
    <t>Bisque Cone 06 + Glaze Cone 6; community kiln or own</t>
  </si>
  <si>
    <t>$20-50/fire</t>
  </si>
  <si>
    <t>Glaze (exterior)</t>
  </si>
  <si>
    <t>1 pint</t>
  </si>
  <si>
    <t>Cone 6; matte earth tones recommended for authentic look</t>
  </si>
  <si>
    <t>Rubber feet (set of 3)</t>
  </si>
  <si>
    <t>Self-adhesive; prevents sliding and dampens bottom</t>
  </si>
  <si>
    <t>Contact pickup (optional)</t>
  </si>
  <si>
    <t>Piezo disc; epoxy to inside wall near side hole</t>
  </si>
  <si>
    <t>STARTUP TOTAL (mold + materials)</t>
  </si>
  <si>
    <t>$131-247</t>
  </si>
  <si>
    <t>PER UDU (after mold is made)</t>
  </si>
  <si>
    <t>$8-20</t>
  </si>
  <si>
    <t>← Sell at $60-150 each</t>
  </si>
  <si>
    <t>1. VOLUME CONTROLS PITCH. A 10% volume increase lowers the Helmholtz frequency by ~5%. This is why slip casting (consistent volume) beats wheel throwing for tuned sets.</t>
  </si>
  <si>
    <t>2. SIDE HOLE SIZE is your primary tuning control after firing. Enlarging it LOWERS the bass tone (counterintuitive: bigger hole = lower pitch because L_eff changes dominate at small sizes).</t>
  </si>
  <si>
    <t>3. WALL THICKNESS affects tap tone (idiophone) but NOT Helmholtz pitch. Thinner walls = louder tap + more fragile. 6-8mm is the sweet spot.</t>
  </si>
  <si>
    <t>4. LEAVE INSIDE UNGLAZED. Glaze dampens the interior reflections that give the Udu its rich overtones. Glaze exterior only for durability.</t>
  </si>
  <si>
    <t>5. SHRINKAGE MATTERS. A 12% shrinkage clay means your mold master must be 1/(1-0.12) = 1.136x oversize. CAD this into the 3D print.</t>
  </si>
  <si>
    <t>6. FOR A TUNED FAMILY (4 sizes): build all 4 molds from the same master, scaled parametrically in SolidWorks. One design table drives all sizes.</t>
  </si>
  <si>
    <t>7. THE WATER UDU is the most fascinating variant. Add water through the mouth; as you tilt, the water shifts = volume changes = pitch bends in real time. Like a liquid talking drum.</t>
  </si>
  <si>
    <t>8. ART FAIR PRICING: Small $60, Medium $85, Large $120, XL $150. A family of 4 displayed together = $415. Material cost ~$50 total = massive margin.</t>
  </si>
  <si>
    <t>9. ELECTRIC OPTION: Epoxy a piezo disc to the inside wall near the side hole. Amplified Udu sounds incredible through a bass amp or PA with reverb.</t>
  </si>
  <si>
    <t>10. CROSS-REFERENCE: Same Helmholtz formula as your Ocarina, Handpan Gu, Cajón, and Resonant Box sheets. The Udu is the purest application of this physics.</t>
  </si>
  <si>
    <t>11. UTAR BUILD: For the dual-chamber variant, throw or cast two pots of different sizes and join at the mouths with slip while leather-hard. The neck between them is the coupling port.</t>
  </si>
  <si>
    <t>12. CULTURAL NOTE: The Udu is sacred in Igbo tradition — the deep tones represent ancestral voices. Approach this instrument with respect for its origins.</t>
  </si>
  <si>
    <t>Udu Drum Family</t>
  </si>
  <si>
    <t>Dual Helmholtz ceramic pot drum, 4 sizes S/M/L/XL, 5 variants (Utar/Kim Kim/Claytone/Udongo/Water), slip cast workflow, $8-20/unit</t>
  </si>
  <si>
    <t>UDU-001</t>
  </si>
  <si>
    <t>Great Highland Bagpipe — Full Set Design &amp; Build Document</t>
  </si>
  <si>
    <t>Chanter (conical bore, double reed) · 2 Tenor Drones + 1 Bass Drone (cylindrical bore, single reed) · Bag · Blowpipe · 5 Stocks</t>
  </si>
  <si>
    <t>DESIGN INPUTS — Pitch &amp; Tuning</t>
  </si>
  <si>
    <t>Low A Pitch (Hz)</t>
  </si>
  <si>
    <t>← Standard modern pitch; adjust for A440 sets</t>
  </si>
  <si>
    <t>Scale Type</t>
  </si>
  <si>
    <t>Mixolydian (flat 7th)</t>
  </si>
  <si>
    <t>← Low G, Low A, B, C#, D, E, F#, High G, High A</t>
  </si>
  <si>
    <t>Tuning System</t>
  </si>
  <si>
    <t>Just Intonation</t>
  </si>
  <si>
    <t>← Tuned to drones, NOT equal temperament</t>
  </si>
  <si>
    <t>African Blackwood (Grenadilla)</t>
  </si>
  <si>
    <t>← Traditional; alt: Cocobolo, Polypenco (Delrin), 3D-print</t>
  </si>
  <si>
    <t>Drone Tuning</t>
  </si>
  <si>
    <t>2× Tenor A3, 1× Bass A2</t>
  </si>
  <si>
    <t>← Both tenors 1 octave below chanter Low A; bass 2 octaves</t>
  </si>
  <si>
    <t>Bag Material</t>
  </si>
  <si>
    <t>Synthetic (Gore-Tex/Bannatyne)</t>
  </si>
  <si>
    <t>← Alt: sheepskin, elk, Canmore hybrid</t>
  </si>
  <si>
    <t>1. CHANTER — Conical Bore, Double Reed, Open Pipe (f = c / 2L)</t>
  </si>
  <si>
    <t>Total Length (in)</t>
  </si>
  <si>
    <t>Taper Ratio</t>
  </si>
  <si>
    <t>Reed seat to sole; ~368 mm</t>
  </si>
  <si>
    <t>Bore Throat (in)</t>
  </si>
  <si>
    <t>4mm; reed seat end</t>
  </si>
  <si>
    <t>Bore Bell (in)</t>
  </si>
  <si>
    <t>20mm; open end</t>
  </si>
  <si>
    <t>22-33:1 typical</t>
  </si>
  <si>
    <t>Outside Diam (in)</t>
  </si>
  <si>
    <t>CHANTER SCALE (Mixolydian, Just Intonation)</t>
  </si>
  <si>
    <t>Ratio</t>
  </si>
  <si>
    <t>Eff Length (in)</t>
  </si>
  <si>
    <t>Hole Diam (in)</t>
  </si>
  <si>
    <t>Fingering (x=closed o=open)</t>
  </si>
  <si>
    <t>Low G</t>
  </si>
  <si>
    <t>xxx xxxx (all closed)</t>
  </si>
  <si>
    <t>Low A (tonic)</t>
  </si>
  <si>
    <t>xxx xooo</t>
  </si>
  <si>
    <t>xxx oooo</t>
  </si>
  <si>
    <t>C (written C#)</t>
  </si>
  <si>
    <t>xxo oooo</t>
  </si>
  <si>
    <t>xoo oooo</t>
  </si>
  <si>
    <t>ooo xooo</t>
  </si>
  <si>
    <t>F (written F#)</t>
  </si>
  <si>
    <t>ooo oooo (all open)</t>
  </si>
  <si>
    <t>High G (harmonic 7th)</t>
  </si>
  <si>
    <t>ooo xooo (cross-finger)</t>
  </si>
  <si>
    <t>High A (octave)</t>
  </si>
  <si>
    <t>xxx xxxx + overblow (2nd register)</t>
  </si>
  <si>
    <t>x=closed, o=open. Left hand: thumb+3 fingers. Right hand: 4 fingers.</t>
  </si>
  <si>
    <t>2. DRONES — Cylindrical Bore, Single Reed, Stopped Pipe (f = c / 4L)</t>
  </si>
  <si>
    <t>Drone</t>
  </si>
  <si>
    <t>Pitch</t>
  </si>
  <si>
    <t>Acoustic L (in)</t>
  </si>
  <si>
    <t>Sections</t>
  </si>
  <si>
    <t>Physical Dims</t>
  </si>
  <si>
    <t>Tenor #1</t>
  </si>
  <si>
    <t>A3 (1 oct below)</t>
  </si>
  <si>
    <t>Bottom 8" + Top 9"</t>
  </si>
  <si>
    <t>Bore: bottom 11/32", top 9/16"; tuning chamber 3" deep</t>
  </si>
  <si>
    <t>Tenor #2</t>
  </si>
  <si>
    <t>A3 (unison w/ #1)</t>
  </si>
  <si>
    <t>Identical to Tenor #1; both tune to same pitch</t>
  </si>
  <si>
    <t>A2 (2 oct below)</t>
  </si>
  <si>
    <t>Bottom 8" + Mid 15" + Top 9"</t>
  </si>
  <si>
    <t>Bore: bottom 3/8", mid 7/16", top 5/8"; extra mid section</t>
  </si>
  <si>
    <t>DRONE BORE DETAIL (blue = adjustable inputs)</t>
  </si>
  <si>
    <t>Drone Part</t>
  </si>
  <si>
    <t>Stock Bore (in)</t>
  </si>
  <si>
    <t>Tenor bottom</t>
  </si>
  <si>
    <t>African Blackwood</t>
  </si>
  <si>
    <t>Tenor top</t>
  </si>
  <si>
    <t>African Blackwood + imitation ivory mounts</t>
  </si>
  <si>
    <t>Tenor tuning chamber</t>
  </si>
  <si>
    <t>Bass bottom</t>
  </si>
  <si>
    <t>Bass middle</t>
  </si>
  <si>
    <t>Bass top</t>
  </si>
  <si>
    <t>3. REEDS</t>
  </si>
  <si>
    <t>Reed Type</t>
  </si>
  <si>
    <t>Construction</t>
  </si>
  <si>
    <t>Bridle</t>
  </si>
  <si>
    <t>Chanter (double)</t>
  </si>
  <si>
    <t>Two cane blades bound to metal staple</t>
  </si>
  <si>
    <t>Staple: 1.25" long, 0.20" OD; blades: 0.50" wide</t>
  </si>
  <si>
    <t>Arundo donax cane + copper staple</t>
  </si>
  <si>
    <t>Waxed hemp binding</t>
  </si>
  <si>
    <t>BUY these first; making requires years of skill</t>
  </si>
  <si>
    <t>Tenor drone (single)</t>
  </si>
  <si>
    <t>Single tongue on cylindrical body</t>
  </si>
  <si>
    <t>Overall: 4" long, 3/8" OD; tongue: 1" long</t>
  </si>
  <si>
    <t>Cane or synthetic (Ezeedrone, Kinnaird)</t>
  </si>
  <si>
    <t>Rubber or waxed hemp; controls pitch</t>
  </si>
  <si>
    <t>Seat diam: match your drone reed seat bore</t>
  </si>
  <si>
    <t>Bass drone (single)</t>
  </si>
  <si>
    <t>Overall: 5.8" long, 1/2" OD; tongue: 2.5" long</t>
  </si>
  <si>
    <t>Cane or synthetic</t>
  </si>
  <si>
    <t>Rubber or waxed hemp; + pitch screw</t>
  </si>
  <si>
    <t>Longer tongue = more air demand</t>
  </si>
  <si>
    <t>4. BAG, BLOWPIPE &amp; STOCKS</t>
  </si>
  <si>
    <t>CNC/Lathe Notes</t>
  </si>
  <si>
    <t>Bag</t>
  </si>
  <si>
    <t>~18x12" deflated; 600-800 in³ inflated; 5 stock holes</t>
  </si>
  <si>
    <t>Synthetic (Gore-Tex zipper bag) or sheepskin</t>
  </si>
  <si>
    <t>Buy ready-made; sewing requires specialized patterns</t>
  </si>
  <si>
    <t>Blowpipe</t>
  </si>
  <si>
    <t>10-12" long, 1/2" bore, one-way valve at bag end</t>
  </si>
  <si>
    <t>Blackwood or Delrin; imitation ivory mouthpiece</t>
  </si>
  <si>
    <t>CNC lathe: straight bore + tenon + mount</t>
  </si>
  <si>
    <t>Blowpipe valve</t>
  </si>
  <si>
    <t>Flap or ball check valve inside blowpipe</t>
  </si>
  <si>
    <t>Leather flap or rubber ball</t>
  </si>
  <si>
    <t>Prevents air backflow when breathing</t>
  </si>
  <si>
    <t>Chanter stock</t>
  </si>
  <si>
    <t>3" long, bore matches chanter sole; tie-in groove</t>
  </si>
  <si>
    <t>Blackwood</t>
  </si>
  <si>
    <t>CNC lathe: bore + external profile + groove for tying</t>
  </si>
  <si>
    <t>Drone stocks (3)</t>
  </si>
  <si>
    <t>3" long each; bore ~13/16"; tie-in groove</t>
  </si>
  <si>
    <t>All 3 identical; single stock for all 3 drones possible</t>
  </si>
  <si>
    <t>Blowpipe stock</t>
  </si>
  <si>
    <t>2.5" long; bore matches blowpipe; tie-in groove</t>
  </si>
  <si>
    <t>Same lathe setup as other stocks</t>
  </si>
  <si>
    <t>African Blackwood blanks (chanter)</t>
  </si>
  <si>
    <t>2x2x16" min; kiln-dried, straight grain</t>
  </si>
  <si>
    <t>Gilmer Wood, Bell Forest, Cook Woods</t>
  </si>
  <si>
    <t>African Blackwood blanks (drones)</t>
  </si>
  <si>
    <t>2x2x10" (4 tops+bottoms) + 2x2x16" (bass mid)</t>
  </si>
  <si>
    <t>Same; or substitute Cocobolo, Delrin</t>
  </si>
  <si>
    <t>$150-350</t>
  </si>
  <si>
    <t>African Blackwood blanks (stocks)</t>
  </si>
  <si>
    <t>2x2x4" each for 5 stocks</t>
  </si>
  <si>
    <t>Same source</t>
  </si>
  <si>
    <t>Blowpipe blank + mouthpiece</t>
  </si>
  <si>
    <t>2x2x14" Blackwood + Delrin/ivory mouthpiece tip</t>
  </si>
  <si>
    <t>Same; mouthpiece from bagpipe supplier</t>
  </si>
  <si>
    <t>Bag (synthetic)</t>
  </si>
  <si>
    <t>Bannatyne, Canmore, or Ross hybrid</t>
  </si>
  <si>
    <t>Henderson's, National Piping Centre shop</t>
  </si>
  <si>
    <t>$80-120</t>
  </si>
  <si>
    <t>Chanter reed (double)</t>
  </si>
  <si>
    <t>Cane chanter reeds; buy several to find a good one</t>
  </si>
  <si>
    <t>G1, Chesney, Melvin, Husk</t>
  </si>
  <si>
    <t>$15-25 each</t>
  </si>
  <si>
    <t>Drone reeds (single, set of 3)</t>
  </si>
  <si>
    <t>Synthetic set: 2 tenor + 1 bass</t>
  </si>
  <si>
    <t>Ezeedrone, Kinnaird, Canning</t>
  </si>
  <si>
    <t>Imitation ivory mounts + ferrules</t>
  </si>
  <si>
    <t>Set of projecting mounts (Delrin or bone)</t>
  </si>
  <si>
    <t>Turn on lathe or buy from bagpipe supplier</t>
  </si>
  <si>
    <t>Hemp (waxed, yellow)</t>
  </si>
  <si>
    <t>1 spool</t>
  </si>
  <si>
    <t>For all joints; wax with beeswax</t>
  </si>
  <si>
    <t>Any bagpipe supplier</t>
  </si>
  <si>
    <t>Tapered reamer (13" chanter)</t>
  </si>
  <si>
    <t>Single-flute: 0.13" to 0.87" taper</t>
  </si>
  <si>
    <t>Custom ground, or Clarkson taper reamer + adapt</t>
  </si>
  <si>
    <t>Cord, tassels, cover, bag cover</t>
  </si>
  <si>
    <t>Tartan bag cover + silk cords + drone ribbons</t>
  </si>
  <si>
    <t>Henderson's, NPC shop</t>
  </si>
  <si>
    <t>$50-100</t>
  </si>
  <si>
    <t>ESTIMATED TOTAL (full set from scratch)</t>
  </si>
  <si>
    <t>$555-1,170</t>
  </si>
  <si>
    <t>Phase 1: CHANTER (most critical; start here)</t>
  </si>
  <si>
    <t>1. Turn exterior profile on lathe from Blackwood blank (2x2x16")</t>
  </si>
  <si>
    <t>2. Step-drill the conical bore with increasing twist drills (1/8" up to 13/16")</t>
  </si>
  <si>
    <t>3. Ream bore with tapered reamer to final cone (0.157" throat to 0.800" bell). CRITICAL: straight bore, no wander.</t>
  </si>
  <si>
    <t>4. Drill 8 finger holes per scale table above. Start undersized, enlarge to tune.</t>
  </si>
  <si>
    <t>5. Turn reed seat tenon at top. Fit with test reed; tune all notes with tape.</t>
  </si>
  <si>
    <t>Phase 2: DRONES (tenor first, then bass)</t>
  </si>
  <si>
    <t>6. Turn 2 tenor bottoms + 2 tenor tops from 2x2x10" blanks each.</t>
  </si>
  <si>
    <t>7. Bore cylindrical: bottom 11/32", top 9/16" with tuning chamber 5/8" x 3" deep.</t>
  </si>
  <si>
    <t>8. Turn bass bottom, middle, and top. Bore: 3/8", 7/16", 5/8" respectively.</t>
  </si>
  <si>
    <t>9. Turn tuning slides (tenon/socket joints between sections). Fit with hemp for airtight seal.</t>
  </si>
  <si>
    <t>10. Turn bell caps with sound holes matching tuning chamber bore.</t>
  </si>
  <si>
    <t>Phase 3: STOCKS &amp; BLOWPIPE</t>
  </si>
  <si>
    <t>11. Turn 5 stocks (chanter, blowpipe, 3 drone) with tie-in grooves for bag attachment.</t>
  </si>
  <si>
    <t>12. Turn blowpipe with straight 1/2" bore; install one-way valve (leather flap or check ball).</t>
  </si>
  <si>
    <t>Phase 4: MOUNTS &amp; FINISH</t>
  </si>
  <si>
    <t>13. Turn imitation ivory (Delrin) projecting mounts, ferrules, and caps for all sections.</t>
  </si>
  <si>
    <t>14. Finish all wood with multiple coats of shellac; polish. Metal combing rings optional.</t>
  </si>
  <si>
    <t>Phase 5: ASSEMBLY</t>
  </si>
  <si>
    <t>15. Tie stocks into bag using waxed hemp + zip ties (synthetic bag) or waxed thread (skin bag).</t>
  </si>
  <si>
    <t>16. Insert reeds: chanter reed into chanter stock, drone reeds into drone stocks. Hemp for airtight seat.</t>
  </si>
  <si>
    <t>17. Assemble all sections with hemp wrapping on tenons. Season bag + test for leaks.</t>
  </si>
  <si>
    <t>18. Tune: Start with drones (tenors first, then bass) to match Low A. Fine-tune chanter with tape.</t>
  </si>
  <si>
    <t>1. THE CHANTER BORE IS EVERYTHING. A conical bore that wanders even 0.01" off-center will produce a chanter that cannot be tuned.</t>
  </si>
  <si>
    <t>2. START WITH A PRACTICE CHANTER. Same bore geometry at ~70% scale, no bag needed. This validates your reaming and hole drilling before committing to the full set.</t>
  </si>
  <si>
    <t>3. CNC ADVANTAGE: Your ShopBot can CNC the exterior profiles precisely. Bore reaming must still be done on the lathe with a hand-guided tapered reamer.</t>
  </si>
  <si>
    <t>4. DELRIN/POLYPENCO ALTERNATIVE: Much easier to machine than Blackwood, waterproof, dimensionally stable. Many professional pipe bands use Polypenco chanters.</t>
  </si>
  <si>
    <t>5. JUST INTONATION: The GHB does NOT use equal temperament. The D and G are tuned to the 4th and harmonic 7th of A, which are noticeably different from piano tuning.</t>
  </si>
  <si>
    <t>6. DRONE HARMONICS: The stopped-pipe drone produces predominantly odd harmonics (1st, 3rd, 5th). These must align with the chanter's open-pipe harmonics for the pipes to sound 'right'.</t>
  </si>
  <si>
    <t>7. BAG PRESSURE: 18-25" water column (~0.6-0.9 psi). Higher pressure = sharper pitch. Consistent arm pressure is what makes a good piper.</t>
  </si>
  <si>
    <t>8. REED SUPPLY: Buy commercial reeds for your first set. Chanter reed making is a lifelong apprenticeship. Drone reeds (synthetic) are plug-and-play.</t>
  </si>
  <si>
    <t>9. COST VS. BUY: A student GHB set costs $700-1,500. A professional set costs $2,000-5,000+. Building from scratch at $555-1,170 is competitive with student sets but with custom quality.</t>
  </si>
  <si>
    <t>10. YOUR MINNEAPOLIS BACKGROUND: You already know the fingering, the embellishments, and the sound you're chasing. That's 90% of the battle. The woodworking is the easy part for you.</t>
  </si>
  <si>
    <t>11. CROSS-REFERENCE: Chanter uses open-pipe acoustics like your Irish Flute and NAF sheets. Drones use stopped-pipe like your Didgeridoo and Duduk sheets.</t>
  </si>
  <si>
    <t>12. LASER ETCHING: The flat sides of drone mounts and the chanter sole are perfect for your Epilog laser. Clan crest, Celtic knotwork, or personalized engraving.</t>
  </si>
  <si>
    <t>13. ADVANCED: Once you have a working GHB, consider Scottish Smallpipes (bellows-blown, quieter, A440 compatible) or Border Pipes (louder, conical bore, session-friendly).</t>
  </si>
  <si>
    <t>PIPED INSTRUMENTS (Claude-Built)</t>
  </si>
  <si>
    <t>Great Highland Bagpipe</t>
  </si>
  <si>
    <t>Full Set Design</t>
  </si>
  <si>
    <t>Chanter (conical, open-pipe, 9-note Mixolydian JI), 2 tenor + 1 bass drone (cylindrical, stopped-pipe), 4 reeds, bag, blowpipe, 5 stocks, $555-1170</t>
  </si>
  <si>
    <t>GHB-001</t>
  </si>
  <si>
    <t>8:9</t>
  </si>
  <si>
    <t>1:1</t>
  </si>
  <si>
    <t>9:8</t>
  </si>
  <si>
    <t>5:4</t>
  </si>
  <si>
    <t>4:3</t>
  </si>
  <si>
    <t>3:2</t>
  </si>
  <si>
    <t>5:3</t>
  </si>
  <si>
    <t>7:4</t>
  </si>
  <si>
    <t>2:1</t>
  </si>
  <si>
    <t>CHANTER PHYSICAL DIMENSIONS (measure with calipers!)</t>
  </si>
  <si>
    <t>BLANK &amp; TURNING</t>
  </si>
  <si>
    <t>Allow 1" extra each end for chucking</t>
  </si>
  <si>
    <t>Blank Cross-Section (in)</t>
  </si>
  <si>
    <t>1.5 x 1.5</t>
  </si>
  <si>
    <t>Square stock; minimum for turning OD</t>
  </si>
  <si>
    <t>OD at Reed Seat (in)</t>
  </si>
  <si>
    <t>Tapers to fit stock socket</t>
  </si>
  <si>
    <t>OD at Top Hole (in)</t>
  </si>
  <si>
    <t>Thickest point of body</t>
  </si>
  <si>
    <t>OD at Bell (in)</t>
  </si>
  <si>
    <t>Flared sole/bell; widest point</t>
  </si>
  <si>
    <t>BORE</t>
  </si>
  <si>
    <t>Bore at Reed Seat (in)</t>
  </si>
  <si>
    <t>4mm typical; use long tapered reamer</t>
  </si>
  <si>
    <t>Bore at Bell (in)</t>
  </si>
  <si>
    <t>20mm full; practice chanter is smaller</t>
  </si>
  <si>
    <t>Hole</t>
  </si>
  <si>
    <t>1 (top, nearest reed)</t>
  </si>
  <si>
    <t>PROTOTYPE WOODS (affordable alternatives to African Blackwood)</t>
  </si>
  <si>
    <t>Density (lb/ft3)</t>
  </si>
  <si>
    <t>Janka (lbf)</t>
  </si>
  <si>
    <t>Acoustic Match</t>
  </si>
  <si>
    <t>Cost (bf)</t>
  </si>
  <si>
    <t>African Blackwood (reference)</t>
  </si>
  <si>
    <t>5/5 reference</t>
  </si>
  <si>
    <t>$50-100/bf</t>
  </si>
  <si>
    <t>Gold standard; extremely hard, dense. Very expensive.</t>
  </si>
  <si>
    <t>Ipe (Lapacho) - Tony has this!</t>
  </si>
  <si>
    <t>4/5 excellent</t>
  </si>
  <si>
    <t>$8-15/bf</t>
  </si>
  <si>
    <t>Very hard, dense, oily. Great bore stability. Best value prototype.</t>
  </si>
  <si>
    <t>Cocobolo</t>
  </si>
  <si>
    <t>5/5 closest</t>
  </si>
  <si>
    <t>$20-40/bf</t>
  </si>
  <si>
    <t>Closest to Blackwood acoustically. Allergenic dust!</t>
  </si>
  <si>
    <t>Honduran Rosewood</t>
  </si>
  <si>
    <t>4/5 proven</t>
  </si>
  <si>
    <t>$15-30/bf</t>
  </si>
  <si>
    <t>Traditional pipe-making wood. Slightly less dense.</t>
  </si>
  <si>
    <t>3/5 lighter</t>
  </si>
  <si>
    <t>$4-8/bf</t>
  </si>
  <si>
    <t>Good for learning. Many practice chanters are maple.</t>
  </si>
  <si>
    <t>Boxwood (European)</t>
  </si>
  <si>
    <t>4/5 historical</t>
  </si>
  <si>
    <t>$15-25/bf</t>
  </si>
  <si>
    <t>Traditional for historical pipes. Hard to find as blanks.</t>
  </si>
  <si>
    <t>Delrin / Acetal (plastic)</t>
  </si>
  <si>
    <t>N/A</t>
  </si>
  <si>
    <t>3/5 modern</t>
  </si>
  <si>
    <t>$3-6/bf equiv</t>
  </si>
  <si>
    <t>Many modern practice chanters are Delrin. Machines perfectly. CNC ideal.</t>
  </si>
  <si>
    <t>2/5 soft</t>
  </si>
  <si>
    <t>Too soft for final pipe but GREAT for learning the reaming workflow.</t>
  </si>
  <si>
    <t>$5-10/bf</t>
  </si>
  <si>
    <t>You know this from NAF builds. Good for process practice.</t>
  </si>
  <si>
    <t>RECOMMENDATION: #1 Cherry or Walnut ($5). #2 Ipe ($12). #3 Ipe or Cocobolo for keeps.</t>
  </si>
  <si>
    <t>Tony's Practice Chanter</t>
  </si>
  <si>
    <t>Full Chanter (target)</t>
  </si>
  <si>
    <t>1.0 x 1.0 (est)</t>
  </si>
  <si>
    <t>Note: Tony's chanter is mostly cylindrical (0.150") with a 2" bell flare — not a true taper!</t>
  </si>
  <si>
    <t>FINGER HOLE COORDINATES — Tony's Measured Practice Chanter + Target Full Chanter</t>
  </si>
  <si>
    <t>Measured (in from bell)</t>
  </si>
  <si>
    <t>Target Full (in from sole)</t>
  </si>
  <si>
    <t>Measured Diam (in)</t>
  </si>
  <si>
    <t>Chamfer (in)</t>
  </si>
  <si>
    <t>Hand / Note</t>
  </si>
  <si>
    <t>7 (bottom, nearest bell)</t>
  </si>
  <si>
    <t>RH pinky / High G</t>
  </si>
  <si>
    <t>Thumb (back side)</t>
  </si>
  <si>
    <t>LH thumb (back) / High A overblow</t>
  </si>
  <si>
    <t>LH index / Low A</t>
  </si>
  <si>
    <t>RH ring / F#</t>
  </si>
  <si>
    <t>RH middle / E</t>
  </si>
  <si>
    <t>RH index / D</t>
  </si>
  <si>
    <t>LH ring / C#</t>
  </si>
  <si>
    <t>LH middle / B</t>
  </si>
  <si>
    <t>← ALL POSITIONS NOW MEASURED (2026-05-02). Holes 4 &amp; 6 are slightly smaller than their neighbors — likely for tuning fine-adjustment.</t>
  </si>
  <si>
    <t>← Hole spacing pattern: 1.37, 1.17, 0.75, 1.10, 0.91, 0.91" — wider spacing at bottom (bigger notes), tighter at top (smaller notes).</t>
  </si>
  <si>
    <t>Ceramic Tongue Drum — Acoustic Material Science + Wolfram Cloud Sound Synthesis</t>
  </si>
  <si>
    <t>Cantilever beam physics (f=K×t/L²) in fired ceramic · Helmholtz chamber coupling · Inharmonic bell-like overtone spectrum · 3D print → mold → slip cast</t>
  </si>
  <si>
    <t>WHY DOES WOOD SPECIES CHANGE FLUTE TONE? — The Physics of Timbre</t>
  </si>
  <si>
    <t>The fundamental frequency (pitch) of a tongue is set by geometry: f = K × t / L². But the TIMBRE (brightness, warmth, sustain) is set by three material properties:</t>
  </si>
  <si>
    <t>Property</t>
  </si>
  <si>
    <t>Formula</t>
  </si>
  <si>
    <t>Effect on Sound</t>
  </si>
  <si>
    <t>Ipé vs Cedar Example</t>
  </si>
  <si>
    <t>Ceramic vs Wood</t>
  </si>
  <si>
    <t>1. Wave Speed (E/ρ)</t>
  </si>
  <si>
    <t>√(E/ρ) m/s</t>
  </si>
  <si>
    <t>Higher = brighter tone, more high-frequency content, louder projection</t>
  </si>
  <si>
    <t>Ipé: 4370 m/s — Cedar: 4560 m/s (similar! — so wave speed alone doesn’t explain the difference)</t>
  </si>
  <si>
    <t>Stoneware: 5316 m/s — FASTEST of all materials</t>
  </si>
  <si>
    <t>2. Impedance Ratio (Z_wall/Z_air)</t>
  </si>
  <si>
    <t>Z = ρ × √(E/ρ) = √(E×ρ)</t>
  </si>
  <si>
    <t>Higher = more sound REFLECTED back into bore, less absorbed by wall = LOUDER + more harmonics</t>
  </si>
  <si>
    <t>Ipé: Z=11,677 — Cedar: Z=4,101 — Ipé is 2.8× more reflective! THIS is why Ipé is louder.</t>
  </si>
  <si>
    <t>Stoneware: Z=29,706 — 7.2× more reflective than Cedar</t>
  </si>
  <si>
    <t>3. Internal Damping (Q factor)</t>
  </si>
  <si>
    <t>Q = πfτ (higher = less damping)</t>
  </si>
  <si>
    <t>Higher Q = longer sustain, more overtones ring out. Low Q = overtones die fast = warmer/softer</t>
  </si>
  <si>
    <t>Ipé: Q≈70 (very low damping) — Cedar: Q≈20 (high damping) — Ipé rings, Cedar absorbs.</t>
  </si>
  <si>
    <t>Stoneware: Q≈150-300 — Like a bell! Overtones ring for seconds.</t>
  </si>
  <si>
    <t>MATERIAL COMPARISON — 17 Materials Across Wood, Metal, and Ceramic</t>
  </si>
  <si>
    <t>Z Ratio</t>
  </si>
  <si>
    <t>Damping</t>
  </si>
  <si>
    <t>Predicted Tone</t>
  </si>
  <si>
    <t>Family</t>
  </si>
  <si>
    <t>W. Red Cedar</t>
  </si>
  <si>
    <t>High</t>
  </si>
  <si>
    <t>Warm, breathy, soft</t>
  </si>
  <si>
    <t>Med-High</t>
  </si>
  <si>
    <t>Warm, rich, balanced</t>
  </si>
  <si>
    <t>Warm, sweet, clear</t>
  </si>
  <si>
    <t>Low-Med</t>
  </si>
  <si>
    <t>Bright, ringing, sustained</t>
  </si>
  <si>
    <t>Warm, balanced, mellow</t>
  </si>
  <si>
    <t>Bright, articulate, punchy</t>
  </si>
  <si>
    <t>Low</t>
  </si>
  <si>
    <t>Very bright, sharp attack</t>
  </si>
  <si>
    <t>Ipé ⭐</t>
  </si>
  <si>
    <t>Very Low</t>
  </si>
  <si>
    <t>Brilliant, loud, cutting</t>
  </si>
  <si>
    <t>Brilliant, projecting, rich</t>
  </si>
  <si>
    <t>Metallic, bright, long sustain</t>
  </si>
  <si>
    <t>Metal</t>
  </si>
  <si>
    <t>Bell-like, very long sustain</t>
  </si>
  <si>
    <t>Warm metallic, mellow bell</t>
  </si>
  <si>
    <t>Earthenware (Cone 06)</t>
  </si>
  <si>
    <t>Med-Low</t>
  </si>
  <si>
    <t>Warm clay, short-med sustain</t>
  </si>
  <si>
    <t>Ceramic</t>
  </si>
  <si>
    <t>Stoneware (Cone 6) ⭐</t>
  </si>
  <si>
    <t>Crystalline, bell-like, long sustain</t>
  </si>
  <si>
    <t>Glass-like, brilliant, very long sustain</t>
  </si>
  <si>
    <t>High-Fire Stoneware</t>
  </si>
  <si>
    <t>Rich, warm-bright hybrid</t>
  </si>
  <si>
    <t>Tongue Thickness (in)</t>
  </si>
  <si>
    <t>← 5mm after firing</t>
  </si>
  <si>
    <t>Slit Kerf (in)</t>
  </si>
  <si>
    <t>← Cantilever K from E and ρ</t>
  </si>
  <si>
    <t>INHARMONIC OVERTONE SPECTRUM — Why Ceramic Sounds Like a Bell</t>
  </si>
  <si>
    <t>Cantilever beams produce INHARMONIC overtones. A440 tongue has partials at:</t>
  </si>
  <si>
    <t>Mode</t>
  </si>
  <si>
    <t>λ</t>
  </si>
  <si>
    <t>f/f1 Ratio</t>
  </si>
  <si>
    <t>If f1=A4 (440Hz)</t>
  </si>
  <si>
    <t>1 (fundamental)</t>
  </si>
  <si>
    <t>C#7 (+37 cents)</t>
  </si>
  <si>
    <t>~F#9</t>
  </si>
  <si>
    <t>~inaudible</t>
  </si>
  <si>
    <t>← Compare: strings have partials at 1, 2, 3, 4× (perfectly harmonic). Ceramic tongues at 1, 6.27, 17.55, 34.4×.</t>
  </si>
  <si>
    <t>← Low damping in ceramic means these inharmonic partials RING for seconds. This is the crystalline, bell-like quality.</t>
  </si>
  <si>
    <t>TONGUE CALCULATOR — 11 D Kurd Tongues (Cantilever: L = √(K×t/f))</t>
  </si>
  <si>
    <t>Tongue L (in)</t>
  </si>
  <si>
    <t>Tongue L (mm)</t>
  </si>
  <si>
    <t>Max L (in)</t>
  </si>
  <si>
    <t>HELMHOLTZ CHAMBER COUPLING</t>
  </si>
  <si>
    <t>← Lenticular cavity (shape factor 0.7)</t>
  </si>
  <si>
    <t>Sound Port (Gu) Diam (in)</t>
  </si>
  <si>
    <t>Helmholtz Note</t>
  </si>
  <si>
    <t>← This bass reinforces tongue strikes. If within ±20% of a tongue freq, they COUPLE for richer tone.</t>
  </si>
  <si>
    <t>WOLFRAM CLOUD SYNTHESIS PARAMETERS</t>
  </si>
  <si>
    <t>(* Ceramic Tongue Drum - Wolfram Language Parameters *)</t>
  </si>
  <si>
    <t>youngsMod = 65*10^9;  (* Pa - Stoneware Cone 6 *)</t>
  </si>
  <si>
    <t>density = 2300;  (* kg/m3 *)</t>
  </si>
  <si>
    <t>thickness = 0.005;  (* m - 5mm *)</t>
  </si>
  <si>
    <t>width = 0.0254;  (* m - 1 inch *)</t>
  </si>
  <si>
    <t>qFactor = 200;  (* Quality factor - stoneware damping *)</t>
  </si>
  <si>
    <t>lambdas = {1.875, 4.694, 7.855, 10.996, 14.137};</t>
  </si>
  <si>
    <t>(* Mode freq: fn = (Ln^2/(2Pi)) Sqrt[E/(12 rho)] t/L^2 *)</t>
  </si>
  <si>
    <t>(* Synth: Sum[Sin[2Pi fn t] Exp[-Pi fn t/Q], {n,1,5}] *)</t>
  </si>
  <si>
    <t>(* Export: Export["ceramic_A4.wav", sound] *)</t>
  </si>
  <si>
    <t>← Paste into Wolfram Cloud. Vary Q: 20(cedar) vs 200(stoneware) vs 2000(steel) to hear damping change timbre.</t>
  </si>
  <si>
    <t>BOM</t>
  </si>
  <si>
    <t>Stoneware clay (25 lbs)</t>
  </si>
  <si>
    <t>Plaster for 2-part mold</t>
  </si>
  <si>
    <t>Kiln firing (bisque + glaze)</t>
  </si>
  <si>
    <t>Cutting tools (wire, blade)</t>
  </si>
  <si>
    <t>$95-185</t>
  </si>
  <si>
    <t>1. D3 DING IS TOO LONG (6.73" vs 5" max). Use D4 KURD — all tongues fit. Or use 14" shell for D3.</t>
  </si>
  <si>
    <t>2. CERAMIC K=33,806 is HIGHER than any wood (max Cedar 29,013) and close to steel (32,098). Tongues ~30% shorter than Padauk.</t>
  </si>
  <si>
    <t>3. Z_ratio of 29,706 means ceramic reflects 7x more sound than Cedar. Expect MUCH louder + brighter.</t>
  </si>
  <si>
    <t>4. INHARMONIC PARTIALS: Mode 2 at 6.27x fundamental (not 2x like string). This is the bell/crystalline quality.</t>
  </si>
  <si>
    <t>5. LOW DAMPING = VERY LONG SUSTAIN. The inharmonic partials ring for seconds. Tune slit width to control.</t>
  </si>
  <si>
    <t>6. HELMHOLTZ COUPLING: Enclosed shell adds bass. If Helmholtz matches a tongue freq, that note is richer.</t>
  </si>
  <si>
    <t>7. CUT SLITS LEATHER-HARD (before bisque). Wire or clay blade. Cannot cut after firing.</t>
  </si>
  <si>
    <t>8. GEOMETRIC DESIGNS: Flat soundboard = canvas for carved/incised patterns between tongues. Do before firing.</t>
  </si>
  <si>
    <t>9. WOLFRAM: Paste params from rows 77-86. Vary Q (20=cedar, 200=stoneware, 2000=steel) to hear material differences.</t>
  </si>
  <si>
    <t>10. NOVEL INSTRUMENT: No commercial ceramic tongue drums with Helmholtz-coupled shells. This is your Resonant Box + Udu + Tongue Drum.</t>
  </si>
  <si>
    <t>11. WHY IPE BRIGHTER THAN CEDAR: Z_ratio 2.8x higher (more reflection) + damping 3.5x lower (longer sustain). See rows 7-9.</t>
  </si>
  <si>
    <t>12. WHY BLACKWOOD FOR BAGPIPES: Z_ratio=11,289 (2nd highest wood) + very low damping. Bore reflects nearly all energy back.</t>
  </si>
  <si>
    <t>52 sheets · Cross-references to Instrument Workshop Master v3.xlsx · Updated 2026-05-02</t>
  </si>
  <si>
    <t>Ceramic Tongue Drum</t>
  </si>
  <si>
    <t>Cantilever beam in fired ceramic, 17-material acoustic comparison, inharmonic spectrum, Helmholtz coupling, Wolfram Cloud synth params</t>
  </si>
  <si>
    <t>CTD-001</t>
  </si>
  <si>
    <t>WOLFRAM CLOUD NOTEBOOK SPEC — KORA</t>
  </si>
  <si>
    <t>Companion notebook to this design sheet. Build in Wolfram Cloud (cloud.wolfram.com) — embed, link, or export to CDF.</t>
  </si>
  <si>
    <t>§1 — HISTORY, ETYMOLOGY &amp; GEOGRAPHIC ORIGIN</t>
  </si>
  <si>
    <t>Origin: Mande peoples of West Africa (Manding empire, ~13th–14th c.). Strongest living tradition in Gambia, Senegal, Guinea, Mali, Guinea-Bissau, Burkina Faso, Côte d'Ivoire.</t>
  </si>
  <si>
    <t>Etymology: 'Kora' likely from Mandinka. Played by jali/jeli/griot — hereditary musician-historians. Core families: Kouyaté, Diabaté, Kuyateh, Suso, Cissokho.</t>
  </si>
  <si>
    <t>First European description: Mungo Park, 1799 (Travels in the Interior Districts of Africa). Earliest extant instruments date to early 19th c.</t>
  </si>
  <si>
    <t>Tunings: Silaba (F major), Tomora (F Lydian), Sauta (F Mixolydian), Hardino (F Dorian-ish). All built around F3 fundamental, two ranks straddling the bridge.</t>
  </si>
  <si>
    <t>Wolfram items: GeoGraphics[{GeoMarker[Entity["City",{"Banjul","Banjul","Gambia"}]], GeoMarker[Entity["City",{"Bamako","Bamako","Mali"}]], GeoMarker[Entity["City",{"Dakar","Dakar","Senegal"}]]}, GeoRange→Entity["GeographicRegion","WesternAfrica"]]</t>
  </si>
  <si>
    <t>Wolfram items: TimelinePlot for kora history; WikipediaData["Kora (instrument)","SummaryPlaintext"] as a starter source; Entity["MusicalInstrument","Kora"]["Properties"].</t>
  </si>
  <si>
    <t>§2 — PHYSICS &amp; ACOUSTICS (string side)</t>
  </si>
  <si>
    <t>Governing law: Mersenne–Taylor — f = (1/2L)·√(T/μ), with μ = ρ·π·(d/2)² for monofilament, μ × wound-factor (~2.5) for wound bass.</t>
  </si>
  <si>
    <t>Stiffness correction (real strings, not ideal): f_n = n·f0·√(1 + B·n²),  B = π²·E·I / (T·L²),  I = π·d⁴/64. Bass strings need this — treble nylon ~negligible.</t>
  </si>
  <si>
    <t>Damping: exponential decay e^(−t/τ), τ depends on bridge admittance + skin head losses. Two-mass coupled oscillator (string + bridge + membrane) captures sympathetic tones.</t>
  </si>
  <si>
    <t>Bridge physics: notched bridge transfers vibration into goatskin head — head acts as a low-Q radiator. Membrane modes: J_{m,n} Bessel zeros / (π·a) × √(T_skin/σ_skin).</t>
  </si>
  <si>
    <t>%Breaking (independent of d): %break = ρ·4·L²·f² / (σ_break·g) × 100. Cross-references column G in string schedule above.</t>
  </si>
  <si>
    <t>Wolfram functions: NDSolve[ ] for damped wave equation on the string; PlayString[Sound[ ]] for synthesized pluck; SoundNote, AudioGenerator, Spectrogram, Periodogram.</t>
  </si>
  <si>
    <t>Wolfram functions: BesselJZero[m,n] for circular membrane modes; ContourPlot3D[BesselJ[m,k r] Cos[m θ]] for mode-shape animations of the skin head.</t>
  </si>
  <si>
    <t>Wolfram functions: FourierTrigSeries / Fourier / PowerSpectralDensity for harmonic content of recorded plucks; LinearSolve / Eigensystem for coupled string-bridge model.</t>
  </si>
  <si>
    <t>§3 — GEOMETRY &amp; DESIGN MODEL</t>
  </si>
  <si>
    <t>Bowl: hemispherical-ish (segmented or stave). Parameterize as Surface of Revolution with profile r(z). Segmented version = RegionUnion of mitered prisms.</t>
  </si>
  <si>
    <t>Neck: long cylindrical/octagonal stick. Bridge sits on goatskin head, tilted forward. String anchor: leather rings sliding on neck for tuning.</t>
  </si>
  <si>
    <t>String geometry: each string runs from anchor → over bridge notch → to a tying point at the foot. Vibrating length = bridge-notch to anchor.</t>
  </si>
  <si>
    <t>Wolfram items: ParametricPlot3D[{r[z] Cos[θ], r[z] Sin[θ], z},…] for bowl; RevolutionPlot3D; RegionPlot3D for chamber volume.</t>
  </si>
  <si>
    <t>Wolfram items: Manipulate[ ] sliders for bowl_diameter, bowl_depth, neck_length, bridge_height, head_tension. Live recompute of f, %break, mode shapes.</t>
  </si>
  <si>
    <t>Wolfram items: Graphics3D + GeometricTransformation for animated string vibration overlay (n=1,2,3 modes). Animate[ ] or ListAnimate[ ] for export.</t>
  </si>
  <si>
    <t>§4 — MATERIAL PROPERTIES &amp; CORRECTION FACTORS</t>
  </si>
  <si>
    <t>Strings — Nylon: ρ=0.04155 lb/in³, σ_break=44,600 psi. Fluorocarbon (PVDF): ρ≈0.0635, σ_break≈55,000 (higher tension capacity, brighter).</t>
  </si>
  <si>
    <t>Strings — Wound bass: nylon core + nylon/silver-plated copper winding. Effective ρ ≈ 2.5× plain nylon (sheet uses this).</t>
  </si>
  <si>
    <t>Bowl woods: Maple ρ=705 kg/m³ E=12.6 GPa; Walnut ρ=610 E=11.6; Cherry ρ=560 E=10.3; Mahogany ρ=590 E=10.1. Bowl mass ≠ tone driver — head + bridge dominate.</t>
  </si>
  <si>
    <t>Goatskin: σ_skin (areal density) ~0.4–0.7 kg/m², T_skin tunable by lacing tension. Head mode 0,1 should sit ~30–40% above F3 fundamental (sympathetic ring without masking).</t>
  </si>
  <si>
    <t>Correction factors: stiffness inharmonicity B (above); finite-bridge admittance shifts f by 1–3% depending on neck/bridge stiffness; humidity affects nylon by ±0.5% over a season.</t>
  </si>
  <si>
    <t>Wolfram items: Entity["Material",…] / Interpreter["Material"] for E and ρ lookup. ElementData / ChemicalData for string alloy windings (silver-plated Cu, bronze).</t>
  </si>
  <si>
    <t>Wolfram items: Quantity / UnitConvert for unit hygiene (Pa↔psi, kg/m³↔lb/in³). QuantityVariable for symbolic dimension checking.</t>
  </si>
  <si>
    <t>§5 — BILL OF MATERIALS (notebook hooks into BOM in this sheet)</t>
  </si>
  <si>
    <t>Pull BOM rows directly: SemanticImport["Flutes-AI.xlsx", "Kora"] or Import[ , {"XLSX","Kora","Data"}]. Filter to BOM rows; render with Dataset[ ].</t>
  </si>
  <si>
    <t>Cost roll-up: Total[ ] over Qty × UnitCost column. Histogram[ ] by Category. Pie chart of cost share via PieChart3D[ ].</t>
  </si>
  <si>
    <t>Wolfram items: Dataset, Query, GroupBy, KeyValueMap; FormFunction for an interactive 'price my kora' input form deployable as an APIFunction.</t>
  </si>
  <si>
    <t>§6 — ANIMATED PARTS DIAGRAMS</t>
  </si>
  <si>
    <t>Exploded view: stack Graphics3D primitives for bowl, head, bridge, neck, strings, anchor rings; animate Z-offset with Manipulate[ ] slider 0→1 (assembled→exploded).</t>
  </si>
  <si>
    <t>String pluck animation: Animate[Plot[A·Sin[n·π·x/L]·Cos[2π·f·t]·Exp[−t/τ], {x,0,L}], {t,0,2}]. One per string, or grid of all 21.</t>
  </si>
  <si>
    <t>Head membrane modes: ListAnimate of BesselJ[m,k_{m,n}·r/a]·Cos[m·θ]·Cos[2π·f_{m,n}·t] over the disc. Color by displacement.</t>
  </si>
  <si>
    <t>Wolfram functions: Manipulate, Animate, ListAnimate, GeometricTransformation, Dynamic; ResourceFunction["ExplodedView"]; Export[ , "GIF"] / Export[ , "MP4"].</t>
  </si>
  <si>
    <t>§7 — ACOUSTIC MODELING (executable cell sketches)</t>
  </si>
  <si>
    <t>fString[L_,T_,μ_]:=1/(2 L) Sqrt[T/μ];  μNylon[d_]:=ρnyl·π (d/2)^2 (* d in m, ρ in kg/m³ *)</t>
  </si>
  <si>
    <t>inharmonic[n_,L_,T_,d_,E_]:=n·f0 Sqrt[1 + (π² E (π d^4/64))/(T L²)·n²]</t>
  </si>
  <si>
    <t>pluckSound[L_,T_,μ_,τ_,nMax_]:=Sound[Table[SoundNote[ToString[440·n/261.63],1,{"Sine","Volume"→Exp[−n/3]}],{n,nMax}]] (* placeholder: replace with AudioGenerator + envelope *)</t>
  </si>
  <si>
    <t>membraneMode[m_,n_,a_,T_,σ_]:= (BesselJZero[m,n]/(π a)) Sqrt[T/σ]</t>
  </si>
  <si>
    <t>Validate against measured: import recorded pluck → Periodogram → peak-pick → compare to predicted f_n series. NonlinearModelFit[ ] to back out actual T and B.</t>
  </si>
  <si>
    <t>Wolfram functions: AudioRecord, AudioPartition, Spectrogram, Periodogram, FindPeaks, NonlinearModelFit, FindFit, Around (uncertainty propagation).</t>
  </si>
  <si>
    <t>§8 — DEPLOYMENT &amp; SHARING</t>
  </si>
  <si>
    <t>CloudDeploy[Manipulate[…], Permissions→"Public"] → shareable URL. CloudPublish[ ] for read-only views. Embed in build documentation.</t>
  </si>
  <si>
    <t>Export design parameters round-trip: notebook reads sheet, recomputes, writes back updated values via Export["Kora.xlsx", dataset, "XLSX"].</t>
  </si>
  <si>
    <t>Wolfram functions: CloudDeploy, CloudPublish, APIFunction, FormFunction, EmbedCode, NotebookSave, Export.</t>
  </si>
  <si>
    <t>WOLFRAM CLOUD NOTEBOOK SPEC — MARIMBA</t>
  </si>
  <si>
    <t>Companion notebook to this design sheet. Build in Wolfram Cloud — deploy as interactive bar/arch/resonator calculator.</t>
  </si>
  <si>
    <t>§1 — HISTORY, ETYMOLOGY &amp; ORIGIN</t>
  </si>
  <si>
    <t>Origin: West/Central Africa (likely Bantu); 'marimba' from Bantu 'rimba' (xylophone bar) with prefix 'ma-' (plural). Carried to Latin America via the trans-Atlantic slave trade, 16–17th c.</t>
  </si>
  <si>
    <t>Modern concert marimba: developed in Guatemala (chromatic version, ~1894 — Sebastián Hurtado) and refined in early-20th-c USA (Deagan, Musser). National instrument of Guatemala.</t>
  </si>
  <si>
    <t>Wolfram items: GeoGraphics map of Bantu migration + Guatemala/Mexico/USA development arc. TimelinePlot[{1500,1894,1916,1950}→events]. Entity["MusicalInstrument","Marimba"].</t>
  </si>
  <si>
    <t>§2 — PHYSICS &amp; ACOUSTICS</t>
  </si>
  <si>
    <t>Governing law: Euler–Bernoulli free-free beam. Mode 1: λ₁ = 4.730. f ∝ (t/L²)·√(E/ρ). Modes are inharmonic for a flat bar (f₂/f₁ ≈ 2.76).</t>
  </si>
  <si>
    <t>Arch undercut tuning: parabolic relief on underside lowers f1 without shortening L; tunes f2 toward 4×f1 (octave + 2). f3 toward 10×f1. This is what gives marimba its singing tone vs. xylophone's 3×.</t>
  </si>
  <si>
    <t>Node positions (mode 1): 22.4% and 77.6% of bar length — cord holes drilled here so the bar floats freely.</t>
  </si>
  <si>
    <t>Resonator coupling: closed quarter-wave tube under each bar at L_tube = c/(4f) − 0.82·bore. Strong amplitude boost when tuned within ±3% of bar fundamental; sharp Q peak.</t>
  </si>
  <si>
    <t>Wolfram functions: NDEigensystem on the beam PDE EI·∂⁴y/∂x⁴ + ρA·∂²y/∂t² = 0 with free-free BCs. Returns mode shapes and eigenfrequencies for any t(x) profile (i.e. arched bar).</t>
  </si>
  <si>
    <t>Wolfram functions: NSolve / FindRoot for resonator length; ParametricNDSolveValue to sweep arch shape vs. f2/f1 ratio; Periodogram + Spectrogram for measured-bar validation.</t>
  </si>
  <si>
    <t>Bar profile: thickness t(x) = t_edge for |x−L/2| &gt; arch_half; t_edge − (t_edge−t_center)·(1 − ((x−L/2)/arch_half)²) inside the arched zone. Center thickness ≥ 0.25" structural minimum.</t>
  </si>
  <si>
    <t>Resonator tubes: stepped lengths from longest (low C3) to shortest (high C7). Mount under bar centers with adjustable plug for fine-tune.</t>
  </si>
  <si>
    <t>Wolfram items: ParametricPlot[t(x)] cross-section + RevolutionPlot3D for resonator. Manipulate[ ] sliders: t_edge, t_center, arch_width, L. Live recompute of f1, f2, f2/f1 ratio.</t>
  </si>
  <si>
    <t>Wolfram items: Graphics3D exploded view of one bar + cord + resonator + frame; Animate[ ] mode shapes (n=1,2,3) overlaid on the bar geometry.</t>
  </si>
  <si>
    <t>Honduran Rosewood (Dalbergia stevensonii) — the gold standard: ρ≈1000 kg/m³, E≈16 GPa, very low internal damping. Padauk and Bubinga are common substitutes; synthetic Kelon for school/outdoor.</t>
  </si>
  <si>
    <t>K constant (imperial, free-free) ≈ K_cantilever × (4.730/1.875)² ≈ K_cantilever × 6.36. Use materials block in this sheet (cells around Q28:Q30) as authoritative inputs.</t>
  </si>
  <si>
    <t>Correction factors: humidity shifts pitch ~±5 cents over a season; temperature dependence weak for wood, larger for aluminum bars; bar end condition (chamfer/radius) shifts mode 1 by ~0.5%.</t>
  </si>
  <si>
    <t>Wolfram items: Entity["Material",…]["YoungModulus"|"Density"]; Quantity / UnitConvert; Around[ ] for material variability (Rosewood E = Around[16, 2] GPa).</t>
  </si>
  <si>
    <t>§5 — ANIMATED PARTS DIAGRAMS &amp; EXECUTABLE STUBS</t>
  </si>
  <si>
    <t>kBar[E_,ρ_]:=(4.730^2/(2 π)) Sqrt[E/(12 ρ)] / 0.0254  (* imperial K *)</t>
  </si>
  <si>
    <t>fBar[t_,L_,K_]:=K t/L^2;  Lbar[f_,t_,K_]:=Sqrt[K t/f]</t>
  </si>
  <si>
    <t>lRes[f_,bore_]:=13552/(4 f) - 0.82 bore  (* in *)</t>
  </si>
  <si>
    <t>archedBeamModes := NDEigensystem[{D[E I[x] D[y[x],{x,2}],{x,2}] - ρ A[x] ω^2 y[x], (free-free BCs)}, y, {x,0,L}, 5]</t>
  </si>
  <si>
    <t>Animate[Plot[ shape_n[x] Cos[2π f_n t], {x,0,L}], {t,0,2/f_1}] for each mode; Grid[ ] them as a 5×1 panel.</t>
  </si>
  <si>
    <t>§6 — BOM, MAP &amp; DEPLOYMENT</t>
  </si>
  <si>
    <t>Import bar list from this sheet via SemanticImport["Flutes-AI.xlsx","Marimba"]. Compute total rosewood board-feet via Total[L·w·t]. Cost roll-up by species.</t>
  </si>
  <si>
    <t>Map: GeoGraphics over Africa→Mesoamerica showing instrument diffusion. Inset: Guatemala highlighted (chromatic marimba origin).</t>
  </si>
  <si>
    <t>Wolfram functions: SemanticImport, Dataset, GroupBy, GeoGraphics, GeoMarker, CloudDeploy[Manipulate[ ]], FormFunction, APIFunction, Export["…","MP4"|"GIF"|"CDF"].</t>
  </si>
  <si>
    <t>WOLFRAM CLOUD NOTEBOOK SPEC — TIN WHISTLE</t>
  </si>
  <si>
    <t>Compact companion notebook — fipple flute, 6-hole diatonic, open-open pipe model.</t>
  </si>
  <si>
    <t>§1 — Origin &amp; Etymology</t>
  </si>
  <si>
    <t>Roots: 6-hole fipple flutes appear across medieval Europe; modern tin whistle traced to Robert Clarke (Coney Weston/Manchester, 1843) — first mass-produced tinplate whistle. Strongly associated with Irish traditional music.</t>
  </si>
  <si>
    <t>Tin' = tinplate body of Clarke's original; 'whistle' from Old English 'hwistlian'. Also: feadog/feadan (Irish), penny whistle (19th-c street price).</t>
  </si>
  <si>
    <t>Wolfram: GeoGraphics over Ireland/UK; TimelinePlot[1843→Clarke, 1900s→Generation, 1970s→Feadog]; Entity["MusicalInstrument","TinWhistle"].</t>
  </si>
  <si>
    <t>§2 — Physics</t>
  </si>
  <si>
    <t>Open-open pipe: f = c/(2·L_eff). End correction ΔL ≈ 0.6·r at each open end. Fipple/windway sets jet angle and air pressure but doesn't change pipe length.</t>
  </si>
  <si>
    <t>Hole positioning: distance_from_foot = L_acoustic · (f_fund / f_hole). Hole diameter ↔ effective shortening (smaller hole ≈ longer effective length ↔ flatter).</t>
  </si>
  <si>
    <t>Overblow: 2nd register = 2× fundamental (pipe is open-open → even harmonics present). 3rd register reachable on D whistle with strong cross-fingering.</t>
  </si>
  <si>
    <t>Wolfram: NDSolve wave equation in tube; Periodogram of recorded notes; FindPeaks for harmonics; NonlinearModelFit to back out actual end correction.</t>
  </si>
  <si>
    <t>§3 — Materials &amp; Corrections</t>
  </si>
  <si>
    <t>Body: tinplate (Clarke), brass (Generation, Feadog), aluminum (high-end), wood/Delrin (Susato, Goldie). Material affects timbre/breath response, not strongly the pitch.</t>
  </si>
  <si>
    <t>Speed of sound: c = 331.3·√(1+T/273.15) m/s. Cold whistle plays flat by ~3 cents/°C below room temp — warm before playing.</t>
  </si>
  <si>
    <t>Wolfram: Quantity/UnitConvert for c(T); Around[ ] for end-correction uncertainty (0.6± 0.05)·r.</t>
  </si>
  <si>
    <t>§4 — Geometry, Animation, Deployment</t>
  </si>
  <si>
    <t>Cross-section: Graphics[Circle/Rectangle] of tube + 6 holes. Manipulate[ ] sliders: bore_ID, L, hole_d, hole_x → live recompute of all 6 hole positions.</t>
  </si>
  <si>
    <t>Animate jet at fipple: Animate[Plot[Sin[π x/L]·Cos[2π f t], {x,0,L}], {t,0,1/f}]; overlay particle-velocity colormap.</t>
  </si>
  <si>
    <t>Compact executable cell: lAcoustic[f_,bore_]:=343/(2 f) - 0.6 (bore/2);  holeDist[fFund_,fHole_,bore_]:=lAcoustic[fFund,bore]·fFund/fHole</t>
  </si>
  <si>
    <t>Wolfram functions: Manipulate, Animate, NDSolve, Periodogram, FindPeaks, SemanticImport (pull this sheet's hole table), CloudDeploy + APIFunction for a public 'design my whistle' tool.</t>
  </si>
  <si>
    <t>WOLFRAM CLOUD NOTEBOOK SPEC — HANDPAN / HANG</t>
  </si>
  <si>
    <t>Steel UFO with 8 tone fields + Helmholtz Gu — coupled-mode acoustics in a doubly-curved shell.</t>
  </si>
  <si>
    <t>Origin: Hang invented 2000 by PANArt (Felix Rohner &amp; Sabina Schärer) in Bern, Switzerland — direct descendant of Trinidadian steel pan but inverted and tuned to a complete scale.</t>
  </si>
  <si>
    <t>Hang' = Bernese German for 'hand'. 'Handpan' is the generic term for non-PANArt instruments that followed (Halo, Aura, Saraz, Ayasa, etc.). PANArt stopped making Hangs in 2013; ceased commercial production 2014.</t>
  </si>
  <si>
    <t>Tonal cousins: Trinidadian steel pan (1930s–40s, Winston 'Spree' Simon, Ellie Mannette), ghatam, udu, gong.</t>
  </si>
  <si>
    <t>Wolfram items: GeoGraphics centered on Bern with arrow to Trinidad; TimelinePlot[{2000→Hang invention, 2007→worldwide spread, 2013→PANArt halt}]; Entity["City",{"Bern","Bern","Switzerland"}].</t>
  </si>
  <si>
    <t>Tone fields: each oval dimple is a clamped curved-shell resonator. f ∝ (t/a²)·√(E/(ρ(1−ν²))) where a is field semi-axis, t is sheet thickness. Curvature couples bending and stretching — this is what gives the spectrum harmonics at 1:2:3 (fundamental + octave + 12th).</t>
  </si>
  <si>
    <t>Tuning principle: each note tuned so 1st overtone = 2× fundamental (octave) and 2nd overtone = 3× fundamental (octave + 5th). Hammer work creates anisotropic stiffness that locks the partial ratios.</t>
  </si>
  <si>
    <t>Helmholtz Gu (bottom port): f_Gu = (c/2π)·√(A_neck / (V_shell · L_neck_eff)). Tuned ~2 octaves below the lowest tone field — adds bass body to the sound.</t>
  </si>
  <si>
    <t>Coupling: tone-field vibration drives shell modes which drive the Helmholtz cavity — three-mass coupled oscillator. Sympathetic ringing across all 9 fields when one is struck.</t>
  </si>
  <si>
    <t>Wolfram functions: NDEigensystem on a curved Kirchhoff-Love shell PDE; FEM via NDSolve `"FiniteElement"`; ToElementMesh / ElementMarker for irregular tone-field boundaries.</t>
  </si>
  <si>
    <t>Wolfram functions: NSolve / FindRoot for Gu length tuning; Periodogram, Spectrogram, FindPeaks for measured-pan harmonic verification; NonlinearModelFit to back out shell pre-stress.</t>
  </si>
  <si>
    <t>Shell: two hemispherical-ish halves joined at the equator. Top (Ding side) has 8 tone fields + center note; bottom (Gu side) has the port. Diameter ~52–56 cm, height ~24 cm, sheet thickness ~1.0–1.2 mm.</t>
  </si>
  <si>
    <t>Tone field: oval dimple, deeper at center (the 'note nipple'), surrounded by 'shoulder' (the 1st-octave region) and 'flank' (the 2nd-octave region). Three hammered zones per field — this is the tuning art.</t>
  </si>
  <si>
    <t>Wolfram items: ParametricPlot3D for the full shell; RegionPlot3D + RegionUnion for tone-field dimples; Manipulate sliders for shell_diameter, sheet_thickness, field_a, field_b, dimple_depth.</t>
  </si>
  <si>
    <t>Wolfram items: Graphics3D exploded view (top shell, bottom shell, Gu cavity); ListAnimate of mode shapes for one field showing 1×, 2×, 3× partials.</t>
  </si>
  <si>
    <t>Steel: nitrided mild steel (PANArt 'Pang') or stainless. E = 200 GPa, ρ = 7850 kg/m³, ν = 0.30. Nitriding hardens the surface and stabilizes tuning; stainless is brighter and more corrosion-resistant.</t>
  </si>
  <si>
    <t>Pre-stress from hammering creates anisotropy that the linear shell PDE doesn't capture — empirically corrected via the 1:2:3 ratio targets.</t>
  </si>
  <si>
    <t>Temperature shifts: pitch ~+3 cents per °C drop (steel stiffens slightly when cool; air c also changes). Humidity affects Gu Helmholtz f via air density.</t>
  </si>
  <si>
    <t>Wolfram items: Entity["Material",…]["YoungModulus"|"Density"|"PoissonRatio"]; Around[ ] for material variability; Quantity / UnitConvert.</t>
  </si>
  <si>
    <t>§5 — BILL OF MATERIALS</t>
  </si>
  <si>
    <t>Pull BOM via SemanticImport["Flutes-AI.xlsx","Handpan"]; cost roll-up Total[Qty·UnitCost]; group by category with GroupBy.</t>
  </si>
  <si>
    <t>Wolfram items: Dataset, Query, GroupBy, KeyValueMap, FormFunction; APIFunction for a 'price my handpan by scale' service.</t>
  </si>
  <si>
    <t>Mode-shape animation per tone field: ListAnimate of FEM eigensolutions (1×, 2×, 3× partials) colored by displacement.</t>
  </si>
  <si>
    <t>Strike animation: Animate showing impulse → fundamental → partial decay envelope per field; Grid all 9 fields with synchronized timeline.</t>
  </si>
  <si>
    <t>Exploded shell: GeometricTransformation slider 0→1 separates top shell, bottom shell, Gu cavity.</t>
  </si>
  <si>
    <t>Wolfram functions: Manipulate, Animate, ListAnimate, GeometricTransformation, Dynamic; Export[ ,"GIF"|"MP4"|"CDF"].</t>
  </si>
  <si>
    <t>fField[a_,t_,E_,ρ_,ν_]:=k·(t/a^2) Sqrt[E/(ρ (1-ν^2))]  (* k from FEM calibration *)</t>
  </si>
  <si>
    <t>fGu[A_,V_,L_]:=(c/(2 π)) Sqrt[A/(V L)]</t>
  </si>
  <si>
    <t>harmonics[f_]:={f, 2 f, 3 f}  (* target ratios; measured deviation = tuning quality metric *)</t>
  </si>
  <si>
    <t>Validate: AudioRecord struck note → Periodogram → FindPeaks → compare to {f, 2f, 3f}; cents error per partial.</t>
  </si>
  <si>
    <t>CloudDeploy[Manipulate[…]] for live tone-field calculator; CloudPublish for read-only handout; APIFunction for pricing service.</t>
  </si>
  <si>
    <t>Wolfram functions: CloudDeploy, CloudPublish, APIFunction, FormFunction, EmbedCode, Export.</t>
  </si>
  <si>
    <t>WOLFRAM CLOUD NOTEBOOK SPEC — STEEL PAN</t>
  </si>
  <si>
    <t>Tenor pan from a 55-gallon oil drum — sunken playing surface with 29 chromatic note areas in circle-of-fifths layout.</t>
  </si>
  <si>
    <t>Origin: Trinidad and Tobago, 1930s–40s. Out of stick-fighting tamboo bamboo bands, then biscuit tins, then oil drums. Pioneers: Winston 'Spree' Simon, Ellie Mannette (sunken pan, ~1946), Anthony Williams (4ths-and-5ths layout).</t>
  </si>
  <si>
    <t>Pan' from the British/Trinidadian word for any metal vessel. Pannist = player. Steelband = the ensemble. National instrument of T&amp;T.</t>
  </si>
  <si>
    <t>Family: tenor (lead, C4–F#6), double tenor, double seconds, cellos, bass (six pans, one note range each).</t>
  </si>
  <si>
    <t>Wolfram items: GeoGraphics over Trinidad; TimelinePlot[{1930s,1946,1951,1992}→{tamboo bamboo, sunken pan, all-steel orchestra in UK Festival of Britain, national instrument decree}]; Entity["Country","TrinidadAndTobago"].</t>
  </si>
  <si>
    <t>Each note is a domed region in the sunken drum head. f ∝ (t/a²)·√(E/ρ) like handpan, but layout uses positive curvature (notes pop UP from sunken surface).</t>
  </si>
  <si>
    <t>Tuning targets: note fundamental + 1st partial at 2× (octave) + 2nd partial at 3× (octave + 5th). Same 1:2:3 stack as handpan — psychoacoustically harmonic.</t>
  </si>
  <si>
    <t>Adjacent notes coupled through the shared shell — sympathetic ringing. Pan tuners use grooving (chiseled boundaries) to decouple.</t>
  </si>
  <si>
    <t>Wolfram functions: NDEigensystem with curved-shell PDE; FEM `"FiniteElement"`; ImplicitRegion for note boundaries; Periodogram + FindPeaks for tuning verification.</t>
  </si>
  <si>
    <t>Source: 55-gallon oil drum (~58 cm diameter, ~88 cm tall, ~1.0–1.2 mm wall). Sinking process pulls head into a concave dish (~15–20 cm deep for tenor).</t>
  </si>
  <si>
    <t>Layout: circle of fifths/fourths around perimeter, lower notes outer ring, higher notes inner. 29 notes for full chromatic C4–F#6.</t>
  </si>
  <si>
    <t>Skirt (cylindrical body): trimmed to ~15 cm for tenor (sets timbre — short = bright). Bass pans keep full skirt.</t>
  </si>
  <si>
    <t>Wolfram items: ParametricPlot3D dish surface; CirclePoints for note layout in C5/F4 layout; Manipulate sliders for skirt_length, sink_depth, dome_radius.</t>
  </si>
  <si>
    <t>§4 — MATERIALS &amp; CORRECTIONS</t>
  </si>
  <si>
    <t>Standard 55-gal oil drum steel: low-carbon, ~1.0–1.2 mm. Modern: chrome-plated or stainless for longevity. E = 200 GPa, ρ = 7850 kg/m³.</t>
  </si>
  <si>
    <t>Heat treatment: pan blanks are flame-tempered after sinking — relieves work-hardening from the sledgehammer phase, stabilizes pitch.</t>
  </si>
  <si>
    <t>Correction factors: dome anisotropy from hammering; thin-vs-thick zones from drum-wall variation; humidity effect minimal vs. wood instruments.</t>
  </si>
  <si>
    <t>Wolfram items: Entity["Material","CarbonSteel1018"]; Quantity / UnitConvert; Around for sheet-thickness variation.</t>
  </si>
  <si>
    <t>§5 — BOM, MAP &amp; ANIMATIONS</t>
  </si>
  <si>
    <t>BOM hook: SemanticImport["Flutes-AI.xlsx","Steel Pan"]; total cost; species filter (drum source, paint, hardware).</t>
  </si>
  <si>
    <t>Animate strike + ring of adjacent notes (sympathetic): ListAnimate FEM displacement field.</t>
  </si>
  <si>
    <t>Layout diagram: Graphics with labeled circle-of-fifths positions; export as engraving template for chiseling note boundaries.</t>
  </si>
  <si>
    <t>§6 — EXECUTABLE CELL SKETCHES</t>
  </si>
  <si>
    <t>fNote[a_,t_,E_,ρ_]:=k·(t/a^2) Sqrt[E/ρ]  (* k calibrated from FEM + measured *)</t>
  </si>
  <si>
    <t>layoutCircleOf5ths[notes_]:=AssociationThread[notes → CirclePoints[{r, π/2}, Length[notes]]]</t>
  </si>
  <si>
    <t>tuneError[measured_,target_]:=1200 Log2[measured/target]  (* cents *)</t>
  </si>
  <si>
    <t>§7 — DEPLOYMENT</t>
  </si>
  <si>
    <t>CloudDeploy interactive layout designer; FormFunction for note-area sizing input; APIFunction for cents-error calculator from uploaded recording.</t>
  </si>
  <si>
    <t>Wolfram functions: CloudDeploy, FormFunction, APIFunction, AudioCapture, Export[ ,"CDF"].</t>
  </si>
  <si>
    <t>WOLFRAM CLOUD NOTEBOOK SPEC — DIDGERIDOO</t>
  </si>
  <si>
    <t>Stopped-pipe drone aerophone of Aboriginal Australia — non-cylindrical bore drives unique 'toot' overtones.</t>
  </si>
  <si>
    <t>Origin: Aboriginal peoples of northern Australia (Arnhem Land, top end of Northern Territory) — at least 1500 years, possibly much older. Traditional names vary by language: yidaki (Yolngu), mago (Kunwinjku), djalupu, ngaribi, etc.</t>
  </si>
  <si>
    <t>Didgeridoo' is onomatopoeic, attributed to early-20th-c. European observers — not an Aboriginal word. Many players prefer 'yidaki' as the proper term.</t>
  </si>
  <si>
    <t>Made traditionally from eucalyptus branches hollowed by termites, then trimmed and sealed with beeswax mouthpiece. Modern variants: agave stalk, bamboo, PVC, glass, ceramic, CNC-routed split-blank wood.</t>
  </si>
  <si>
    <t>Wolfram items: GeoGraphics over Arnhem Land; Entity["Country","Australia"]; TimelinePlot[{ancient, 1922→first European recording, 1953→Trevor Jones acoustic study, 1990s→worldwide spread}].</t>
  </si>
  <si>
    <t>Stopped pipe (closed at lips): f1 = c/(4·L_eff). Odd harmonic series only for ideal cylinder → 1st overtone at 3·f1 ('toot'), 2nd at 5·f1.</t>
  </si>
  <si>
    <t>Non-cylindrical bores (cone, bell, irregular eucalyptus) shift overtone ratios — designers tune the toot relative to drone deliberately. Cylindrical: toot ≈ octave+5th. Conical: toot closer to octave. Bell-flared: toot lower than cylindrical.</t>
  </si>
  <si>
    <t>Vocal-tract coupling: the player's mouth + throat + lungs form a second resonator coupled to the drone. Formant peaks in this tract sweep across the drone spectrum — this is what makes didge timbre dynamic.</t>
  </si>
  <si>
    <t>Lip reed: like brass instruments. Bernoulli-driven oscillation of lip aperture, frequency-locked to the bore's resonance.</t>
  </si>
  <si>
    <t>Wolfram functions: NDSolve transmission-line model for non-cylindrical bore; Webster horn equation ∂²p/∂x² + (1/A) (dA/dx) ∂p/∂x = (1/c²) ∂²p/∂t²; Periodogram + Spectrogram for circular-breathing sustain analysis.</t>
  </si>
  <si>
    <t>Three bore profiles in this sheet: cylindrical, conical, bell-flared. Parameterize as A(x) = π·r(x)². r(x) = r_mouthpiece + (r_bell−r_mouthpiece)·(x/L)^p where p∈{0=step, 1=cone, 2=bell}.</t>
  </si>
  <si>
    <t>Length sets drone: L = c/(4·f1) − end correction. Typical: D2 ≈ 60", C2 ≈ 67", but eucalyptus pieces drive their own length (build-from-found-stick philosophy).</t>
  </si>
  <si>
    <t>Wolfram items: ParametricPlot3D bore as surface of revolution; RegionPlot3D for cavity volume; Manipulate for L, r_in, r_out, profile exponent p, mouthpiece bore.</t>
  </si>
  <si>
    <t>§4 — MATERIAL &amp; CORRECTION FACTORS</t>
  </si>
  <si>
    <t>Eucalyptus: ρ ≈ 600–900 kg/m³ depending on species; high internal damping vs. metal/PVC → darker, woodier timbre.</t>
  </si>
  <si>
    <t>Beeswax mouthpiece: ~30–40 mm bore, sealed onto end. Sets effective lip impedance — softer wax = more responsive.</t>
  </si>
  <si>
    <t>End correction at bell: ΔL ≈ 0.6·r_bell. Larger bell flare → stronger formant peaks.</t>
  </si>
  <si>
    <t>Temperature/humidity: c shifts ~0.6 m/s per °C; player's warm breath inside the bore offsets ambient — a cold didge plays sharp on first breath, settles flat after warming.</t>
  </si>
  <si>
    <t>§5 — BOM HOOK &amp; MAP</t>
  </si>
  <si>
    <t>SemanticImport["Flutes-AI.xlsx","Didgeridoo"] → BOM rows; group by build method (split-blank, agave, PVC).</t>
  </si>
  <si>
    <t>Map: GeoGraphics Arnhem Land + insets for major regional traditions (Yolngu, Kunwinjku, Bininj). Cite Aboriginal origin prominently.</t>
  </si>
  <si>
    <t>§6 — ANIMATED DIAGRAMS</t>
  </si>
  <si>
    <t>Bore profile animation: Manipulate exponent p ∈ {0,1,2,3} → see bore shape morph cylinder ↔ cone ↔ bell, with overlay of 1st/3rd/5th resonance.</t>
  </si>
  <si>
    <t>Standing-wave Animate: pressure node at bell, anti-node at lips, for fundamental + toot + 5th resonance.</t>
  </si>
  <si>
    <t>Vocal-tract overlay: side-by-side Plot of bore impedance + tract impedance, sweep tract formants live with Manipulate.</t>
  </si>
  <si>
    <t>§7 — EXECUTABLE CELL SKETCHES</t>
  </si>
  <si>
    <t>lDidge[f_,r_]:=343/(4 f) - 0.6 r  (* m, Hz, m *)</t>
  </si>
  <si>
    <t>boreA[x_, L_, rIn_, rOut_, p_]:=π (rIn + (rOut-rIn) (x/L)^p)^2</t>
  </si>
  <si>
    <t>websterModes[A_,L_,c_]:= NDEigensystem[{D[A[x] D[p[x],x],x] + (ω^2/c^2) A[x] p[x], (* BCs *)}, p, {x,0,L}, 5]</t>
  </si>
  <si>
    <t>validate: AudioRecord drone, Spectrogram, locate fundamental + toot, compare ratio to predicted from bore profile.</t>
  </si>
  <si>
    <t>§8 — DEPLOYMENT</t>
  </si>
  <si>
    <t>CloudDeploy bore-profile-to-frequency calculator; APIFunction that accepts profile points + L → returns predicted f1 and overtone series.</t>
  </si>
  <si>
    <t>Wolfram functions: CloudDeploy, APIFunction, FormFunction, AudioCapture, Spectrogram, NonlinearModelFit, Export[ ,"CDF"|"MP4"].</t>
  </si>
  <si>
    <t>WOLFRAM CLOUD NOTEBOOK SPEC — FLOOR HARP</t>
  </si>
  <si>
    <t>34-string diatonic floor harp + 19-string lap harp variant — Mersenne–Taylor across full 4½-octave range.</t>
  </si>
  <si>
    <t>Harp lineage stretches to ~3000 BCE Sumer (bow harp), Egyptian arched harps, medieval European frame harps, Celtic/Gaelic clàrsach (wire-strung, ~10th c.), modern pedal harp (Hochbrucker single-action ~1720, Erard double-action 1810).</t>
  </si>
  <si>
    <t>Harp' from Old English 'hearpe' / Old Norse 'harpa' — likely 'plucker'. Floor / Celtic / lever harp = no pedals, levers per string for half-step changes.</t>
  </si>
  <si>
    <t>Geographic spread: Mesopotamia → Egypt → Greece (kithara) → Rome → medieval Europe; parallel African line (kora, ardin) shares the harp-lute family.</t>
  </si>
  <si>
    <t>Wolfram items: GeoGraphics with TimelinePlot[{-3000,-1500,1000,1720,1810}→{Sumer,Egypt,Celtic,Hochbrucker,Erard}]; Entity["MusicalInstrument","Harp"].</t>
  </si>
  <si>
    <t>Mersenne–Taylor: f = (1/2L)·√(T/μ). 34 strings spanning ~4.5 octaves → string lengths from ~6" (treble) to ~50" (bass). Bass uses wound strings to keep length manageable.</t>
  </si>
  <si>
    <t>Stiffness inharmonicity: B = π² E I / (T L²). Fattest bass strings have B → stretched harmonics; thin treble nylon → negligible.</t>
  </si>
  <si>
    <t>Soundbox = forced-driven membrane + box mode coupling. Treat as box-resonator with primary modes from BesselJZero (top plate) + Helmholtz contribution from sound holes.</t>
  </si>
  <si>
    <t>String-soundboard coupling: bridge transmits string force into top plate → plate motion radiates. Q of plate sets sustain; under-coupled → thin tone, over-coupled → muddy/short.</t>
  </si>
  <si>
    <t>Wolfram functions: NDSolve damped wave eq for string; Eigensystem for plate modes; PowerSpectralDensity, Periodogram for measured plucks; NonlinearModelFit for B and τ.</t>
  </si>
  <si>
    <t>Triangular frame: pillar (vertical column), neck (curved upper diagonal carrying tuning pins), soundbox (lower diagonal containing the strings' bridge anchors). Curvature of neck sets per-string vibrating length.</t>
  </si>
  <si>
    <t>Soundbox: trapezoidal staved or plywood-laminated. Top plate (soundboard) ≈ 3–4 mm spruce or cedar; back/sides ≈ 6–8 mm hardwood. Sound holes on back, not front.</t>
  </si>
  <si>
    <t>Lap harp variant: same physics, shorter scales, 19 strings. Use this sheet's lap-harp section.</t>
  </si>
  <si>
    <t>Wolfram items: ParametricPlot3D for full frame; Manipulate sliders for neck_curve, pillar_height, box_taper; live recompute of all 34 string lengths; Graphics3D exploded view (frame, soundboard, back, strings, levers).</t>
  </si>
  <si>
    <t>Strings: nylon (treble/mid), wound nylon-core/silver-plated-copper (bass). ρ_nylon = 0.04155 lb/in³, σ_break = 44,600 psi. Wound effective ρ ≈ 2.5× plain.</t>
  </si>
  <si>
    <t>Soundboard: Sitka spruce E∥ = 11 GPa, ρ = 400 kg/m³ — high E/ρ for radiation efficiency. WRC similar but lower density.</t>
  </si>
  <si>
    <t>Frame woods: maple (hard, stable), walnut (decorative), ash. Frame must resist string tension (~600–1000 lbf total on a 34-string).</t>
  </si>
  <si>
    <t>Corrections: humidity → ±0.5% on nylon length; temperature → soundboard E shifts; long-term creep of soundboard means re-leveling tuning over months.</t>
  </si>
  <si>
    <t>SemanticImport["Flutes-AI.xlsx","Floor Harp"] → string schedule + BOM; total tension load = Total[T_i]; check vs. frame-wood yield.</t>
  </si>
  <si>
    <t>Animate string pluck per string: ListAnimate Plot[A Sin[n π x/L_i] Cos[2π f_i t] Exp[-t/τ]]; grid of 34 panels.</t>
  </si>
  <si>
    <t>Soundboard mode shapes: ContourPlot of plate eigenmodes; ListAnimate (1,1) (2,1) (1,2) (2,2).</t>
  </si>
  <si>
    <t>§6 — EXECUTABLE CELLS</t>
  </si>
  <si>
    <t>fString[L_,T_,μ_]:=1/(2 L) Sqrt[T/μ]</t>
  </si>
  <si>
    <t>muNylon[d_]:=0.04155 π (d/2)^2  (* lb/in *)</t>
  </si>
  <si>
    <t>muWound[d_]:=2.5 muNylon[d]</t>
  </si>
  <si>
    <t>totalTension[strings_]:=Total[strings["Tension"]]  (* lbf — frame load *)</t>
  </si>
  <si>
    <t>inharmonic[n_,L_,T_,d_,E_]:=n fString[L,T,muNylon[d]] Sqrt[1 + (π^2 E (π d^4/64))/(T L^2) n^2]</t>
  </si>
  <si>
    <t>CloudDeploy harp-design tool: input scale length range + tuning + tension target → output gauge schedule + frame load. APIFunction for bandmate string ordering.</t>
  </si>
  <si>
    <t>Wolfram functions: CloudDeploy, FormFunction, APIFunction, EmbedCode, Export[ ,"CDF"|"PDF"].</t>
  </si>
  <si>
    <t>WOLFRAM CLOUD NOTEBOOK SPEC — STAVE LUTE / OUD</t>
  </si>
  <si>
    <t>Bowl-back lute family — steam-bent ribs over CNC mold, fretless oud + fretted lute variants.</t>
  </si>
  <si>
    <t>Oud: Arab/Persian/Turkish/Greek/Armenian fretless lute; ancestor of European lute. 'Oud' from Arabic 'al-ʿūd' (the wood). Pre-Islamic origins (~Sassanid Persia) → spread via Umayyad/Abbasid expansion → reached Iberia by 8th c. → became European 'lute' (laud, liuto, Laute).</t>
  </si>
  <si>
    <t>European lute: 8–13 courses, fretted, peaked in Renaissance/early Baroque (Dowland, Weiss). Theorbo and archlute = extended-bass variants.</t>
  </si>
  <si>
    <t>Sister instruments: barbat (Persia), pipa (China — different lineage), saz (Turkey), tar/setar (Iran).</t>
  </si>
  <si>
    <t>Wolfram items: GeoGraphics arc Persia→Arab world→Iberia→Europe; TimelinePlot[{500,711,1200,1500,1700,1900}→{Sassanid barbat, Moorish Iberia, medieval lute, Renaissance peak, decline, oud revival}].</t>
  </si>
  <si>
    <t>Strings: Mersenne–Taylor, double courses standard. Oud 11 strings (5 doubles + 1 single bass), lute 8–13 courses.</t>
  </si>
  <si>
    <t>Bowl-back: thin-rib hemispherical resonator. Top plate (soundboard) is the radiator — bowl is acoustically near-rigid (compared to top), reflects energy back into the air.</t>
  </si>
  <si>
    <t>Soundboard with rosettes (decorative + acoustic): rosette area sets internal volume coupling. Lute rosettes are 'parchment knots'; oud uses geometric latticework.</t>
  </si>
  <si>
    <t>Helmholtz contribution: bowl + soundboard + sound hole → chamber resonance ~100–150 Hz for typical sizes.</t>
  </si>
  <si>
    <t>Wolfram functions: NDEigensystem on top plate; ParametricNDSolveValue for body coupling; Periodogram on recorded plucks; FindFit for B (stiffness) and τ (damping).</t>
  </si>
  <si>
    <t>Bowl: 14–21 ribs each 70–75 cm × 2.5–4 cm × 2.8 mm, steam-bent over a CNC-routed mold form. Rib width tapers narrow at neck and tail.</t>
  </si>
  <si>
    <t>Mold: half-mold of the bowl shape, CNC-machined from MDF or laminated ply. Locates ribs during glue-up.</t>
  </si>
  <si>
    <t>Steam bending: 1 hr per inch thickness at 212°F; bend over mold while hot; cauls + rubber bands hold during cool-down.</t>
  </si>
  <si>
    <t>Wolfram items: ParametricPlot3D rib + sweep around bowl axis; RevolutionPlot3D for mold half; Manipulate sliders for bowl_radius, bowl_depth, ribCount; Graphics3D exploded view of one rib + mold + cauls.</t>
  </si>
  <si>
    <t>§4 — MATERIALS &amp; BENDABILITY</t>
  </si>
  <si>
    <t>Rib woods: maple, walnut, rosewood, snakewood; alternate light/dark for visual stripe. Quartersawn straight-grain mandatory — plain-sawn or interlocked grain will tear out during bending.</t>
  </si>
  <si>
    <t>Soundboard: spruce (European/Sitka) or cedar (WRC). E∥ = 11 GPa, ρ = 400 kg/m³.</t>
  </si>
  <si>
    <t>Bendability index: depends on green moisture, species, thickness. Hot-water soak alternative to steam: 24 hr soak then bend — better for thin ribs.</t>
  </si>
  <si>
    <t>Strings: gut historically; modern nylon, fluorocarbon, or nylgut. ρ and σ_break per string family in materials block above.</t>
  </si>
  <si>
    <t>Wolfram items: Entity["Material",…]; Around for bendability data; Quantity / UnitConvert.</t>
  </si>
  <si>
    <t>§5 — BOM, METHOD HOOKS, MAP</t>
  </si>
  <si>
    <t>SemanticImport["Flutes-AI.xlsx","Stave Lute-Oud"] → BOM + step-by-step method; render Method as ordered list with Style.</t>
  </si>
  <si>
    <t>Group rib stock by species; Total rib feet; check yield from board feet stock.</t>
  </si>
  <si>
    <t>Map: oud diffusion overlay; cite Persian ↔ Arab ↔ Iberian ↔ European arrows.</t>
  </si>
  <si>
    <t>Rib glue-up animation: ListAnimate ribs sliding into place over the mold, one at a time, with caul pressure indicators.</t>
  </si>
  <si>
    <t>Top-plate mode shapes: ContourPlot eigenmodes; ListAnimate (1,1)…(3,2).</t>
  </si>
  <si>
    <t>Fret-position animation (lute only): Animate fret_n = L (1 - 2^(-n/12)); show 12 frets cascading from nut.</t>
  </si>
  <si>
    <t>§7 — EXECUTABLE CELLS</t>
  </si>
  <si>
    <t>ribEdge[bowlR_,depth_,n_]:=2 π bowlR / n  (* approximate edge length per rib at equator *)</t>
  </si>
  <si>
    <t>fretPosition[L_,n_]:=L (1 - 2^(-n/12))  (* lute frets *)</t>
  </si>
  <si>
    <t>courseFreq[L_,T_,μ_]:=1/(2 L) Sqrt[T/μ]</t>
  </si>
  <si>
    <t>CloudDeploy oud/lute string-tension calculator; FormFunction for course count + tuning input → returns gauge schedule; APIFunction for mold-form coordinate export.</t>
  </si>
  <si>
    <t>Wolfram functions: CloudDeploy, APIFunction, FormFunction, Export["CDF"|"DXF"|"STL"] for mold-form geometry.</t>
  </si>
  <si>
    <t>WOLFRAM CLOUD NOTEBOOK SPEC — SHAKUHACHI</t>
  </si>
  <si>
    <t>Japanese end-blown bamboo flute — utaguchi (mouthpiece) cut + meri/kari (head tilt) for microtonal pitch bending.</t>
  </si>
  <si>
    <t>Origin: ancestor instruments from China (xiao-family) introduced to Japan ~7–8th c. (Nara period). Edo-period komusō ('emptiness monks') of Fuke Zen used shakuhachi for suizen ('blowing meditation') — banned by Meiji government 1871; survived as concert and ensemble instrument (sankyoku trio with koto + shamisen).</t>
  </si>
  <si>
    <t>Shakuhachi' = 1.8 (one shaku eight sun) — the 'standard' D4 flute is 1.8 shaku long (~54.5 cm). Other lengths take their key from their length: 2.4 shaku = A3, 1.6 shaku = E4, etc.</t>
  </si>
  <si>
    <t>Wolfram items: GeoGraphics China→Japan arc; TimelinePlot[{700, 1300, 1614, 1871, 1950s}→{Tang xiao import, Komusō rise, Fuke sect codified, Meiji ban, modern revival}]; Entity["MusicalInstrument","Shakuhachi"].</t>
  </si>
  <si>
    <t>Open-open pipe: f = c/(2 L_eff), but utaguchi cut + 5-hole sparse fingering means each note relies heavily on player's lip + breath shaping.</t>
  </si>
  <si>
    <t>Meri / kari: chin-down (meri) or chin-up (kari) head tilt shifts the embouchure jet relative to utaguchi edge — lowers/raises pitch by ~50–100 cents. Built into the playing technique, not the geometry.</t>
  </si>
  <si>
    <t>Bamboo bore is irregular (root end is wider, internal nodes partially planed); use Webster horn equation rather than ideal cylinder.</t>
  </si>
  <si>
    <t>Wolfram functions: NDSolve Webster horn equation; Periodogram on recorded notes; FindPeaks for multi-phonic / partial analysis; NonlinearModelFit for effective end correction.</t>
  </si>
  <si>
    <t>Length 1.8 shaku = 54.5 cm; 5 holes (4 front + 1 thumb back); utaguchi = chamfered notch on blowing edge with hardwood/buffalo-horn inlay.</t>
  </si>
  <si>
    <t>Bore profile: traditional bamboo (madake), CNC-routed from split blank for synthetic versions. Internal taper: gradual narrowing toward foot.</t>
  </si>
  <si>
    <t>Wolfram items: Manipulate sliders for L, hole_x_i, bore_diameter; ParametricPlot3D bore as surface of revolution with non-cylindrical r(z); Graphics for utaguchi cross-section.</t>
  </si>
  <si>
    <t>Madake bamboo (Phyllostachys bambusoides) — preferred. Root end provides natural taper. ρ ≈ 700–900 kg/m³, with internal urushi lacquer coating to seal/tune the bore.</t>
  </si>
  <si>
    <t>Urushi (Japanese lacquer): seals bore, evens out internal diameter, slightly raises Q. Multiple layers; each pair of coats raises pitch ~5–10 cents.</t>
  </si>
  <si>
    <t>Synthetic alternative: ABS plastic, CNC wood, or 3D printed. Synthetic is more uniform but lacks the irregular nodes that give bamboo its character.</t>
  </si>
  <si>
    <t>Temperature: cold flute plays flat ~3 cents/°C; humidity affects bamboo more than synthetic.</t>
  </si>
  <si>
    <t>SemanticImport["Flutes-AI.xlsx","Shakuhachi"]; group BOM by build path (bamboo vs CNC synthetic).</t>
  </si>
  <si>
    <t>Map: highlight Kyoto, Tokyo, Hamamatsu (modern makers); Edo komusō pilgrimage routes.</t>
  </si>
  <si>
    <t>Meri/kari animation: Animate showing chin angle → jet vector → effective length → pitch shift; tie to a Listen[ ] sample if Audio resources are loaded.</t>
  </si>
  <si>
    <t>Standing wave Animate: pressure profile in non-cylindrical bore; show how non-cylindrical shape distorts ideal sin profile.</t>
  </si>
  <si>
    <t>Utaguchi cross-section Manipulate: angle, depth, inlay material → shows attack and edge tone behavior.</t>
  </si>
  <si>
    <t>lShakuhachi[f_,bore_]:=343/(2 f) - 0.6 bore  (* m *)</t>
  </si>
  <si>
    <t>shakuToCm[s_]:=s 30.3   (* 1 shaku = 30.3 cm; 1 sun = 3.03 cm *)</t>
  </si>
  <si>
    <t>meriShift[θ_]:=cents per degree fit from data  (* empirical *)</t>
  </si>
  <si>
    <t>validate: AudioRecord Ro/Tsu/Re/Chi/Ri (the five basic notes) → Periodogram → cents error vs equal temperament + traditional Edo tuning.</t>
  </si>
  <si>
    <t>CloudDeploy: shakuhachi length-from-key calculator; FormFunction for desired key + bore taper → hole positions and utaguchi placement.</t>
  </si>
  <si>
    <t>Wolfram functions: CloudDeploy, APIFunction, FormFunction, AudioCapture, Periodogram, Export[ ,"CDF"|"PDF"].</t>
  </si>
  <si>
    <t>WOLFRAM CLOUD NOTEBOOK SPEC — DUDUK FAMILY</t>
  </si>
  <si>
    <t>Armenian double-reed cylindrical-bore aerophone — closed-pipe acoustics with massive reed.</t>
  </si>
  <si>
    <t>Origin: Armenian highlands; some scholars trace to ~1500 BCE Urartu. Modern duduk is iconic of Armenian music, also played in Georgia, Azerbaijan, Iran (balaban), Turkey (mey) — all close cousins.</t>
  </si>
  <si>
    <t>Duduk' from Armenian 'duduk' (pipe). UNESCO Intangible Cultural Heritage 2005. Made traditionally from apricot wood (tsiranapogh = apricot pipe).</t>
  </si>
  <si>
    <t>Cousins: balaban (Iran/Azerbaijan), mey (Turkey), guan (China — slightly different lineage). All share the giant-cane double reed and cylindrical bore.</t>
  </si>
  <si>
    <t>Wolfram items: GeoGraphics centered on Yerevan with halo of cousin instruments; TimelinePlot[{-1500, 400, 1900, 2005}→{Urartu, Christian Armenia, modern revival, UNESCO ICH}].</t>
  </si>
  <si>
    <t>Stopped/closed-pipe: f = c/(4 L_eff). The huge double reed (~9–14 cm long, flattened cane) is acoustically closed at the player's lips. Cylindrical bore → odd-only harmonics → mellow, voice-like tone.</t>
  </si>
  <si>
    <t>Reed resonance: the reed itself has its own pitch (~300–500 Hz fundamental). Reed must be 'sub-resonant' to bore (reed pitch &gt; bore pitch) for stable sound. Players adjust reed by squeezing the bridle (the band that constrains reed opening).</t>
  </si>
  <si>
    <t>Limited range → single octave (rarely 1 octave + minor 3rd via overblowing). Compensated by huge dynamic and timbral range: vibrato, growl, krunk (long sustained held tones).</t>
  </si>
  <si>
    <t>Wolfram functions: NDSolve transmission-line model with reed-as-pressure-controlled-valve; Webster horn for slight bore taper (real duduks are not perfectly cylindrical); Periodogram + Spectrogram for vibrato analysis.</t>
  </si>
  <si>
    <t>Body: cylindrical bore, ~28–40 cm depending on key. 9 holes (8 front + 1 thumb). Reed inserted into bridle at top; reed length adds to L_eff.</t>
  </si>
  <si>
    <t>Sheet has 4 regional variants (Armenian, Iranian balaban, Turkish mey, …); 20 keys across the family. Use this sheet's design table for actual lengths.</t>
  </si>
  <si>
    <t>Wolfram items: Manipulate L, bore, hole_x_i, reed_length; ParametricPlot3D bore + reed assembly; Graphics2D cross-section showing reed → bridle → bore.</t>
  </si>
  <si>
    <t>Apricot (Prunus armeniaca): ρ ≈ 750 kg/m³, dense and stable, traditional choice. Modern alternatives: walnut, mulberry, ebony.</t>
  </si>
  <si>
    <t>Reed: Arundo donax (giant cane), aged 2–3 years, soaked + flattened. Typical reed cost: $30–100, lifespan a few months of regular play.</t>
  </si>
  <si>
    <t>Reed pitch tunes via bridle (band) tightness — squeezing the bridle raises reed resonance and makes the duduk play sharper and easier to overblow. Critical adjustment.</t>
  </si>
  <si>
    <t>Temperature: warm reed = sharp; cold reed = flat and unstable. Players warm reed in mouth before playing.</t>
  </si>
  <si>
    <t>SemanticImport["Flutes-AI.xlsx","Duduk Family"]; filter by regional variant; render reed sub-BOM with cane source notes.</t>
  </si>
  <si>
    <t>Map: GeoGraphics Caucasus + Anatolia + Iranian plateau showing the duduk-balaban-mey trinity.</t>
  </si>
  <si>
    <t>Reed-bore coupling animation: Animate reed pressure ↔ bore pressure standing wave; show how reed-pitch-vs-bore-pitch ratio determines stable oscillation.</t>
  </si>
  <si>
    <t>Bridle adjustment Manipulate: bridle tightness → reed natural f → bore stable f; visualize unstable / stable / sharp regions.</t>
  </si>
  <si>
    <t>Standing-wave Animate: closed-end pressure anti-node at reed, open-end node at bell.</t>
  </si>
  <si>
    <t>lDuduk[f_,bore_]:=343/(4 f) - 0.6 bore  (* m *)</t>
  </si>
  <si>
    <t>duduk root note: keyName − 3 semitones (sheet convention)</t>
  </si>
  <si>
    <t>reedPitch[L_,bore_]:= heuristic ~ 0.6 c/(2 L_reed)  (* effective reed-cavity *)</t>
  </si>
  <si>
    <t>CloudDeploy duduk-key-to-length calculator; APIFunction for full hole-position table given key + bore.</t>
  </si>
  <si>
    <t>Wolfram functions: CloudDeploy, APIFunction, FormFunction, AudioCapture, Spectrogram, Export[ ,"CDF"|"PDF"].</t>
  </si>
  <si>
    <t>WOLFRAM CLOUD NOTEBOOK SPEC — GREAT HIGHLAND BAGPIPE (GHB)</t>
  </si>
  <si>
    <t>Chanter (open conical) + 2 tenor + 1 bass drone (closed cylindrical), reservoir-fed reeds, just-intonation Mixolydian.</t>
  </si>
  <si>
    <t>Origin: bagpipes are an ancient pan-Eurasian family (~3000 yrs); Great Highland Bagpipe specifically codified in 16th–18th c. Scotland (MacCrimmon piping dynasty, Skye). Suppressed after Culloden (1746) but never extinct.</t>
  </si>
  <si>
    <t>Name: 'pipe' Old English; 'bag' literal. Gaelic: pìob mhòr ('great pipe'). National instrument of Scotland; military tradition (regimental pipers) keeps the design rigorously standardized.</t>
  </si>
  <si>
    <t>Cousins: uilleann pipes (Ireland, bellows-blown), border/Northumbrian pipes (smallpipes), gaita (Spain/Portugal), zampogna (Italy), tulum (Turkey), cimpoi (Romania), volynka (Russia/Ukraine).</t>
  </si>
  <si>
    <t>Wolfram items: GeoGraphics highlighting Scotland + diffusion across UK + Western Europe; TimelinePlot[{-3000, 1500, 1746, 1854, present}→{ancient pipes, MacCrimmons, Culloden suppression, regimental codification, modern}]; Entity["MusicalInstrument","Bagpipes"].</t>
  </si>
  <si>
    <t>§2 — PHYSICS &amp; ACOUSTICS — CHANTER</t>
  </si>
  <si>
    <t>Chanter: conical bore, 8 holes, double reed. Conical → ~complete harmonic series → brighter/bigger sound than duduk's cylindrical.</t>
  </si>
  <si>
    <t>Conical pipe: f = c/(2 L_eff) — behaves like an open pipe in pitch despite being closed at the reed (cone math: f1 = c/(2L) regardless of closed end).</t>
  </si>
  <si>
    <t>Tuning: 9-note Mixolydian-ish scale, traditionally just-intonation (5/4, 3/2, 9/8 ratios) which is what gives GHB its distinctive sharp 4th and flat 7th vs equal temperament.</t>
  </si>
  <si>
    <t>Wolfram functions: NDSolve Webster horn for conical bore; Around[ ] for hole-position tolerances; Periodogram for partial analysis.</t>
  </si>
  <si>
    <t>§3 — PHYSICS &amp; ACOUSTICS — DRONES</t>
  </si>
  <si>
    <t>2 tenor drones: cylindrical bore, closed at reed, single reed (cane or synthetic). f = c/(4 L_eff). Tuned to A3 (an octave below chanter A4 = 480 Hz, NOT 440!).</t>
  </si>
  <si>
    <t>1 bass drone: same but tuned to A2 (two octaves below chanter A4). Three sliding sections allow gross + fine tuning.</t>
  </si>
  <si>
    <t>Reservoir bag: pressure regulator. Player squeezes arm to maintain ~30 inches of water column. Reeds are pressure-controlled valves; stable oscillation only above threshold.</t>
  </si>
  <si>
    <t>GHB pitch reference is A4 = 480 Hz (sharp of concert), not 440. Modern bands sometimes go up to A4 = 484 Hz.</t>
  </si>
  <si>
    <t>§4 — GEOMETRY &amp; MATERIALS</t>
  </si>
  <si>
    <t>Chanter: African blackwood (mpingo) traditional; cocobolo, ABS modern. Bore length ~36 cm, conical taper.</t>
  </si>
  <si>
    <t>Drones: blackwood with combed/ringed turning; ferrules of nickel silver or imitation ivory. 3 stocks (sockets) for drones + 1 for chanter + 1 for blowpipe = 5 stocks total.</t>
  </si>
  <si>
    <t>Reeds: chanter = double reed (cane); drones = single reed (cane or synthetic Ezee/Kinnaird). Reed life: months for chanter, years for synthetic drones.</t>
  </si>
  <si>
    <t>Bag: hide (sheepskin, cowhide) or synthetic (Gore-Tex, Bannatyne). Treated with seasoning to maintain airtightness.</t>
  </si>
  <si>
    <t>SemanticImport["Flutes-AI.xlsx","Great Highland Bagpipe"]; sub-assemblies: chanter, tenor drones, bass drone, blowpipe, bag, stocks. Total cost roll-up.</t>
  </si>
  <si>
    <t>Pressure-flow animation: Animate bag pressure response to player squeeze + blow-in; show steady-state regulation around the reed threshold.</t>
  </si>
  <si>
    <t>Just-intonation pitch chart: visualize the 9 chanter notes on a frequency-ratio number line vs equal temperament; quantify cents-deviation per note.</t>
  </si>
  <si>
    <t>fChanter[L_,n_]:= n c/(2 L)  (* conical, n=1,2,3 *)</t>
  </si>
  <si>
    <t>fDrone[L_,n_]:= (2n-1) c/(4 L)  (* cylindrical closed-pipe, odd harmonics *)</t>
  </si>
  <si>
    <t>GHBjust := {1,9/8,5/4,4/3,3/2,5/3,9/5,2}  (* approximate JI ratios — exact values per piping tradition *)</t>
  </si>
  <si>
    <t>centsFromJI[ratio_]:= 1200 Log2[ratio]</t>
  </si>
  <si>
    <t>CloudDeploy chanter hole-position calculator (input target A4 reference + JI tuning preference); APIFunction for drone tuning slot positions.</t>
  </si>
  <si>
    <t>WOLFRAM CLOUD NOTEBOOK SPEC — SEGMENTED ASHIKO</t>
  </si>
  <si>
    <t>Truncated-cone hand drum from West Africa — segmented stave construction (29 rings × 16 segments).</t>
  </si>
  <si>
    <t>Origin: West Africa (Yoruba, Igbo regions of Nigeria and surrounding). Cousin to djembe (Mali/Guinea, goblet-shaped) — ashiko is straight-tapered cone.</t>
  </si>
  <si>
    <t>Ashiko' may derive from Yoruba root meaning 'freedom' or 'spirit'; details disputed. Adopted into African-American drum-circle traditions (Babatunde Olatunji et al., mid-20th c.).</t>
  </si>
  <si>
    <t>Wolfram items: GeoGraphics over Nigeria/Yorubaland; Entity["MusicalInstrument","Drum"]; TimelinePlot[{ancient, 1959→Olatunji 'Drums of Passion', 1990s→drum-circle movement}].</t>
  </si>
  <si>
    <t>Drumhead: circular membrane under tension. f_{m,n} = (j_{m,n}/(2π a)) Sqrt[T/σ] where j_{m,n} is BesselJZero[m,n], a = head radius, T = areal tension, σ = areal density.</t>
  </si>
  <si>
    <t>Modes are inharmonic (Bessel zeros are not integer ratios) → drumheads sound 'pitched' but not strongly tonal. Contrast tabla, where loaded center pulls modes toward harmonic.</t>
  </si>
  <si>
    <t>Shell: truncated cone. Acts as a Helmholtz-ish resonator (open bottom = port). Cavity resonance ~50–150 Hz depending on size — gives the ashiko its bass body.</t>
  </si>
  <si>
    <t>Wolfram functions: BesselJZero[m,n] for membrane mode frequencies; ContourPlot3D[BesselJ[m, k r] Cos[m θ]] for mode shapes; Periodogram of struck drum for measured spectrum.</t>
  </si>
  <si>
    <t>Segmented construction: 29 rings × 16 segments = 464 pieces. Miter angle = 180/16 = 11.25° per segment edge.</t>
  </si>
  <si>
    <t>Each ring has a different outer diameter (top = wide, bottom = narrow). Segment edge length per ring: π·D_outer / 16. Stack rings, glue, then turn on lathe to clean profile.</t>
  </si>
  <si>
    <t>Wolfram items: ParametricPlot3D truncated cone; RegionUnion of ring meshes; Manipulate sliders for top_D, bottom_D, height, ring_count; Graphics3D ring-stack exploded animation.</t>
  </si>
  <si>
    <t>Diamond pattern: alternate species per segment for visual rhythm. Pattern map: matrix of {ring, segment} → species. Use the pattern from this sheet.</t>
  </si>
  <si>
    <t>Shell woods: maple/walnut as base + cherry/yellowheart accents (sheet pattern). E and ρ less critical for drums than for marimba bars — shell mostly defines volume + Helmholtz coupling, not pitch directly.</t>
  </si>
  <si>
    <t>Head: goatskin (traditional), cowhide, calfskin, or synthetic Mylar/Remo. σ (areal density) ranges 0.4–1.0 kg/m². Tension applied via rope-and-ring tuning system.</t>
  </si>
  <si>
    <t>Tuning: head tension shifts pitch as f ∝ √T — quadrupling tension doubles pitch. Practical range maybe ±50 cents from nominal.</t>
  </si>
  <si>
    <t>Humidity: skin heads tighten when dry, loosen when humid — pitch climbs in summer indoors, drops outside in rain.</t>
  </si>
  <si>
    <t>§5 — BOM HOOK &amp; CUT LIST</t>
  </si>
  <si>
    <t>SemanticImport["Flutes-AI.xlsx","Segmented Ashiko"]; ring-by-ring cut list; total segment count by species; board-feet calc.</t>
  </si>
  <si>
    <t>Cost: Total[Segments × Cost_per_species]; check yield from purchased boards.</t>
  </si>
  <si>
    <t>Ring stack-up animation: Animate rings glued from bottom to top, one per second.</t>
  </si>
  <si>
    <t>Diamond-pattern color map: Graphics with colored squares for each {ring, segment} pair — preview the visual pattern before cutting.</t>
  </si>
  <si>
    <t>Membrane mode animation: ContourPlot3D Bessel modes on the head; ListAnimate (0,1) (1,1) (2,1) (0,2) modes.</t>
  </si>
  <si>
    <t>miter[n_]:=180/n  (* degrees, equal-divided ring *)</t>
  </si>
  <si>
    <t>edgeLen[Douter_,n_]:=π Douter / n</t>
  </si>
  <si>
    <t>fHead[m_,n_,a_,T_,σ_]:=(BesselJZero[m,n]/(π a)) Sqrt[T/σ]</t>
  </si>
  <si>
    <t>totalSegs[ringCount_,segPerRing_]:=ringCount segPerRing</t>
  </si>
  <si>
    <t>CloudDeploy: input top_D + bottom_D + height + segments-per-ring → returns full cut list as Dataset; APIFunction for diamond-pattern generator (input species set, get color matrix).</t>
  </si>
  <si>
    <t>Wolfram functions: CloudDeploy, APIFunction, FormFunction, Export[ ,"CSV"|"PDF"|"DXF"] for cut-list output.</t>
  </si>
  <si>
    <t>WOLFRAM CLOUD NOTEBOOK SPEC — IRISH FLUTE</t>
  </si>
  <si>
    <t>6-hole simple-system wooden flute — open-open conical bore, diatonic D major, 25 keys D4–D6.</t>
  </si>
  <si>
    <t>Roots: 19th-c. simple-system flute (pre-Boehm), e.g. Pratten/Rudall–Rose/Nicholson designs. Adopted by Irish traditional musicians as cheaper used flutes flooded the market after orchestras switched to Boehm system (~1870 onward).</t>
  </si>
  <si>
    <t>Distinct from concert flute: keyless or 4–8 keys, conical bore (not cylindrical), wood (blackwood, boxwood, cocus). Nasal/woody timbre well-suited to dance music.</t>
  </si>
  <si>
    <t>Wolfram items: GeoGraphics over Ireland + UK; TimelinePlot[{1832,1870,1970s}→{Boehm flute, simple-system displaced, Irish trad revival}].</t>
  </si>
  <si>
    <t>Open-open with conical bore: f ≈ c/(2 L_eff). Conical taper boosts higher harmonics — supports octave overblow well.</t>
  </si>
  <si>
    <t>End correction ΔL ≈ 0.6·r at each open end. Hole positioning: dist = L_acoustic·(f_fund / f_hole).</t>
  </si>
  <si>
    <t>Wolfram functions: NDSolve Webster horn for conical bore; Periodogram of recorded notes; FindPeaks for octave-key purity.</t>
  </si>
  <si>
    <t>§3 — Geometry &amp; Materials</t>
  </si>
  <si>
    <t>Body: typically 4 sections (head + 3 body) or 1-piece. Bore tapers from ~19 mm at head to ~13 mm at foot. Length D4 ≈ 23".</t>
  </si>
  <si>
    <t>Wood: African blackwood (mpingo) gold standard; cocus, boxwood, polymer. Density and damping affect timbre, weakly affect pitch.</t>
  </si>
  <si>
    <t>Wolfram items: Manipulate sliders for bore taper, hole sizes, wall thickness; ParametricPlot3D bore as truncated cone.</t>
  </si>
  <si>
    <t>§4 — Animations</t>
  </si>
  <si>
    <t>Animate fingering charts: Graphics with hole pattern overlaid on body, cycle through D-major scale showing closed/open holes.</t>
  </si>
  <si>
    <t>Standing-wave Animate at fundamental + first overblown octave.</t>
  </si>
  <si>
    <t>§5 — Executable Cells</t>
  </si>
  <si>
    <t>lFlute[f_, bore_]:=343/(2 f) - 0.6 (bore/2)</t>
  </si>
  <si>
    <t>holeDist[fFund_, fHole_, L_]:= L (fFund / fHole)</t>
  </si>
  <si>
    <t>centsErr[measured_, target_]:=1200 Log2[measured/target]</t>
  </si>
  <si>
    <t>§6 — Wolfram Functions Cheat Sheet</t>
  </si>
  <si>
    <t>Manipulate, Animate, NDSolve, Periodogram, FindPeaks, NonlinearModelFit, SemanticImport, GeoGraphics, TimelinePlot, CloudDeploy, FormFunction, APIFunction, Export["CDF"].</t>
  </si>
  <si>
    <t>WOLFRAM CLOUD NOTEBOOK SPEC — FUJARA</t>
  </si>
  <si>
    <t>Slovak overtone shepherd's flute — long open-open pipe with side blow tube, played from harmonic series.</t>
  </si>
  <si>
    <t>Origin: Slovak shepherds in the Podpoľanie region of central Slovakia, ~17th–18th c. UNESCO Intangible Cultural Heritage 2005.</t>
  </si>
  <si>
    <t>Fujara' from Slovak; cousin of bigger Slavic overtone flutes (koncovka, smaller cousin in Slovakia). Played with circular breathing for long droning melodies built from harmonics.</t>
  </si>
  <si>
    <t>Wolfram items: GeoGraphics highlighting Detva/Podpoľanie region; Entity["Country","Slovakia"]; TimelinePlot[{1700s, 1989, 2005}→{shepherd origin, Velvet Revolution preserved trad, UNESCO ICH}].</t>
  </si>
  <si>
    <t>Open-open pipe but VERY long (1.5–2 m). Fundamental in D2/G2/F2 range. Sound produced by overblowing through harmonic series; only 3 finger holes — most notes come from harmonic selection, not fingering.</t>
  </si>
  <si>
    <t>Side blow tube (vzduchovod) carries breath from mouthpiece down to the main bore — keeps the long instrument vertical and graspable.</t>
  </si>
  <si>
    <t>Wolfram functions: NDSolve open-open with side branch; Periodogram of recorded melody — visualize harmonic ladder being walked.</t>
  </si>
  <si>
    <t>Length: 160–200 cm, 3 holes near foot. Made from elderberry, plum, or maple. Hand-decorated with traditional carved/burnt patterns.</t>
  </si>
  <si>
    <t>Wolfram items: Manipulate L, hole_x; ParametricPlot3D body + side tube; visualize harmonic series positions on the body.</t>
  </si>
  <si>
    <t>Harmonic ladder Animate: highlight which harmonic (n=1,2,…,8+) is active during a recorded melody; tie to Periodogram peaks.</t>
  </si>
  <si>
    <t>Standing waves at f1, 2f1, 3f1, …, 8f1 — Animate pressure profile.</t>
  </si>
  <si>
    <t>lFujara[f1_,bore_]:=343/(2 f1) - 0.6 bore</t>
  </si>
  <si>
    <t>harmonics[f1_,nMax_]:=Table[n f1, {n,nMax}]</t>
  </si>
  <si>
    <t>fingeringTable[f1_, holeFreqs_]:= AssociationThread[holeFreqs → ...]</t>
  </si>
  <si>
    <t>§6 — Wolfram Functions</t>
  </si>
  <si>
    <t>Manipulate, Animate, NDSolve, Periodogram, FindPeaks, GeoGraphics, TimelinePlot, CloudDeploy, AudioCapture, Spectrogram.</t>
  </si>
  <si>
    <t>WOLFRAM CLOUD NOTEBOOK SPEC — XIAO FAMILY</t>
  </si>
  <si>
    <t>Chinese end-blown bamboo flute — 8-hole chromatic, 3 bore variants (bei xiao, nan xiao, qin xiao).</t>
  </si>
  <si>
    <t>Origin: Chinese end-blown flute, lineage to ~Tang dynasty (7–10th c.) and earlier; possibly descended from Qiang ethnic minority flutes of western China.</t>
  </si>
  <si>
    <t>Xiao' (洞箫 dòngxiāo, 'cave flute' or simply 箫). Family includes nan xiao (southern, played upright with sweet tone), bei xiao (northern, larger), qin xiao (paired with guqin zither, refined chamber tone).</t>
  </si>
  <si>
    <t>Wolfram items: GeoGraphics centered on China showing regional variants; TimelinePlot[{Tang→present}]; Entity["Country","China"].</t>
  </si>
  <si>
    <t>Open-open pipe: f = c/(2 L_eff). 8 holes (this sheet's chromatic variant) gives near-chromatic scale within an octave. Bore variants change timbre + breath response.</t>
  </si>
  <si>
    <t>Fipple-less: notch at top edge, player's lips form the embouchure. Like shakuhachi but softer notch and more cylindrical bore.</t>
  </si>
  <si>
    <t>Wolfram functions: NDSolve Webster horn (slight taper in real bamboo); Periodogram per note for chromatic verification.</t>
  </si>
  <si>
    <t>Length varies by key (G xiao keyed at hole-4 = D); 8 holes (7 front + 1 back thumb). Bore ID 14–18 mm typical.</t>
  </si>
  <si>
    <t>Bamboo (zizhu / madake), or wood/plastic for budget instruments. Internal lacquer like shakuhachi for tuning + bore stability.</t>
  </si>
  <si>
    <t>Naming convention: xiao keyed by 4th hole note (G xiao has root D; +5 semitones = G at hole 4). See sheet design table.</t>
  </si>
  <si>
    <t>Cycle Animate of all 12 chromatic fingerings; Manipulate slider for bore variant (bei/nan/qin) → recompute hole positions.</t>
  </si>
  <si>
    <t>Standing-wave Animate fundamental + overblown octave with notch as anti-node.</t>
  </si>
  <si>
    <t>lXiao[f_,bore_]:=343/(2 f) - 0.6 bore</t>
  </si>
  <si>
    <t>rootFromKey[keyName_]:= keyName − 5 semitones  (* sheet convention *)</t>
  </si>
  <si>
    <t>holePositions[L_, freqs_]:= Table[L (fund/freqs[[i]]), {i, Length[freqs]}]</t>
  </si>
  <si>
    <t>Manipulate, NDSolve, Periodogram, FindPeaks, SemanticImport, GeoGraphics, CloudDeploy, FormFunction, APIFunction.</t>
  </si>
  <si>
    <t>WOLFRAM CLOUD NOTEBOOK SPEC — KENA / KENACHO</t>
  </si>
  <si>
    <t>Andean notched-end flute — open-open pipe, 7-hole diatonic; kenacho = larger (octave below kena).</t>
  </si>
  <si>
    <t>Origin: pre-Columbian Andes (Inca, pre-Inca cultures of Peru, Bolivia, Ecuador, northern Chile/Argentina). Continuously played for ~3000+ years.</t>
  </si>
  <si>
    <t>Quechua: 'qina' or 'qhena' (notched flute). Made traditionally from a leg bone of llama/condor or from cane (Arundo); modern from PVC, wood, hardwood.</t>
  </si>
  <si>
    <t>Kenacho ('big quena') is the large bass version, an octave below the standard kena.</t>
  </si>
  <si>
    <t>Wolfram items: GeoGraphics over Andean spine (Peru/Bolivia/Ecuador); TimelinePlot[{−1500, Inca, present}]; Entity["GeographicRegion","Andes"].</t>
  </si>
  <si>
    <t>Open-open pipe with U-shaped notch (no fipple — player's lips form embouchure against the notch). f = c/(2 L_eff).</t>
  </si>
  <si>
    <t>7 holes (6 front + 1 back) for diatonic G-major (kena standard) or D-major (kenacho). Overblows octave.</t>
  </si>
  <si>
    <t>Wolfram functions: NDSolve open-open; Periodogram for octave-key verification.</t>
  </si>
  <si>
    <t>Kena G4: ~38 cm. Kenacho G3 octave below: ~76 cm with bore ~25 mm. Notch is U-shaped, ~10 mm wide × 5 mm deep at top.</t>
  </si>
  <si>
    <t>Materials: bamboo cane traditional; modern hardwood (jacaranda, mahogany, walnut), PVC, ABS.</t>
  </si>
  <si>
    <t>Wolfram items: Manipulate L, bore, notch geometry; ParametricPlot3D body + notch detail.</t>
  </si>
  <si>
    <t>Notch jet animation: Animate jet vector hitting notch edge → standing wave establishment over a few cycles.</t>
  </si>
  <si>
    <t>Hole pattern Animate cycling through diatonic scale.</t>
  </si>
  <si>
    <t>lKena[f_,bore_]:=343/(2 f) - 0.6 bore</t>
  </si>
  <si>
    <t>kenacho[fKena_]:=fKena/2  (* one octave lower *)</t>
  </si>
  <si>
    <t>holeDist[fFund_,fHole_,L_]:= L (fFund/fHole)</t>
  </si>
  <si>
    <t>Manipulate, Animate, NDSolve, Periodogram, GeoGraphics, TimelinePlot, CloudDeploy, FormFunction.</t>
  </si>
  <si>
    <t>WOLFRAM CLOUD NOTEBOOK SPEC — MOSEÑO</t>
  </si>
  <si>
    <t>Bolivian Aymara duct flute — 6-hole diatonic with side blow pipe + 4 tuning holes.</t>
  </si>
  <si>
    <t>Origin: Aymara people of the Bolivian Altiplano (Lake Titicaca region). Played in ensembles during winter season ('jacha tata' = big father).</t>
  </si>
  <si>
    <t>Etymology: 'Moseño' likely from Mohoseño / region name. Cousin of pinkullo, tarka (other Andean duct flutes); larger and lower-pitched.</t>
  </si>
  <si>
    <t>Wolfram items: GeoGraphics over Bolivian Altiplano + Lake Titicaca; TimelinePlot[{pre-Columbian, present}].</t>
  </si>
  <si>
    <t>Open-open pipe but with duct/fipple windway (like recorder), so player blows through side tube (blow pipe / soplador) which directs air across the duct edge.</t>
  </si>
  <si>
    <t>f = c/(2 L_eff). 4 fixed tuning holes near the foot (not fingered) tune the fundamental; 6 finger holes give diatonic scale.</t>
  </si>
  <si>
    <t>Wolfram functions: NDSolve open-open with fixed tuning holes treated as fixed bore impedance terminations.</t>
  </si>
  <si>
    <t>Length 60–120 cm depending on key. Bamboo or hardwood. Side blow pipe ~15–20 cm long perpendicular to main bore.</t>
  </si>
  <si>
    <t>4 tuning holes: usually fixed during making, then sealed if too sharp. They allow flexibility in matching ensemble pitch.</t>
  </si>
  <si>
    <t>Wolfram items: Manipulate L, bore, tuning-hole positions; visualize how each tuning hole shifts fundamental.</t>
  </si>
  <si>
    <t>Tuning-hole sensitivity: Manipulate slider to add/remove each of the 4 tuning holes → live recompute of fundamental and how the 6 finger-hole notes shift.</t>
  </si>
  <si>
    <t>Standing-wave Animate showing main bore + side-tube node coupling.</t>
  </si>
  <si>
    <t>lMoseno[f_,bore_]:=343/(2 f) - 0.6 bore</t>
  </si>
  <si>
    <t>tuningHoleEffect[L_, holePos_, holeSize_, mainBore_]:= heuristic shortening = L holePos (mainBore/holeSize)^k</t>
  </si>
  <si>
    <t>Validate via Periodogram: each tuning-hole config shifts f1 measurably.</t>
  </si>
  <si>
    <t>Manipulate, NDSolve, Periodogram, GeoGraphics, CloudDeploy, FormFunction, APIFunction.</t>
  </si>
  <si>
    <t>WOLFRAM CLOUD NOTEBOOK SPEC — ANDEAN DUCT FLUTES (PINKULLO + TARKA)</t>
  </si>
  <si>
    <t>Aymara/Quechua duct flutes — pinkullo (round bore, recorder-like) + tarka (square exterior, CNC-friendly).</t>
  </si>
  <si>
    <t>Origin: Andean indigenous traditions. Pinkullo is widespread Quechua/Aymara duct flute; tarka is the larger, square-bodied festival flute associated with Carnival/Anata in Bolivia.</t>
  </si>
  <si>
    <t>Etymology: 'Pinkullo' from Quechua 'pinkillo' (small pipe). 'Tarka' Aymara, often played in tarkeada ensembles.</t>
  </si>
  <si>
    <t>Wolfram items: GeoGraphics Andean spine; TimelinePlot[{pre-Columbian, present}].</t>
  </si>
  <si>
    <t>Both are duct flutes (fipple): f = c/(2 L_eff). 6 holes diatonic.</t>
  </si>
  <si>
    <t>Pinkullo: round bamboo/wood bore. Tarka: square-section bore (CNC routed). Square bore behaves close to circular for low frequencies but with slightly different end correction.</t>
  </si>
  <si>
    <t>Wolfram functions: NDSolve cylindrical bore (pinkullo); for tarka use rectangular cross-section impedance + numerical end correction.</t>
  </si>
  <si>
    <t>Pinkullo: bamboo or hardwood, 30–60 cm. Tarka: square 4-sided wood body, often carved / decorated, 30–70 cm.</t>
  </si>
  <si>
    <t>Tarka's square exterior makes it ideal for CNC manufacturing — mill 4 sides flat, then route bore.</t>
  </si>
  <si>
    <t>Wolfram items: Manipulate L, bore, square vs round; visualize end correction shift.</t>
  </si>
  <si>
    <t>Cross-section Manipulate: morph from round to square → see effective end correction change.</t>
  </si>
  <si>
    <t>Hole-pattern Animate cycle through the diatonic scale.</t>
  </si>
  <si>
    <t>lDuct[f_,bore_]:=343/(2 f) - 0.6 bore</t>
  </si>
  <si>
    <t>endCorrSquare[side_]:=0.6 (side/Sqrt[Pi])  (* effective radius for square *)</t>
  </si>
  <si>
    <t>Manipulate, NDSolve, Periodogram, GeoGraphics, CloudDeploy, FormFunction, Export["DXF"] for CNC tarka geometry.</t>
  </si>
  <si>
    <t>WOLFRAM CLOUD NOTEBOOK SPEC — SIKU / ZAMPOÑA</t>
  </si>
  <si>
    <t>Andean panpipes — 13 closed-tube pipes split into 2 ranks (arka 7 + ira 6), played by 2 players or one alternating.</t>
  </si>
  <si>
    <t>Origin: pre-Columbian Andes (Aymara, Quechua, Tiwanaku culture). Ancient examples 1500+ BCE.</t>
  </si>
  <si>
    <t>Siku' Aymara, 'Zampoña' Spanish. Two interlocking ranks force two musicians to play in dialogue (paired playing) — central to Aymara musical philosophy of complementarity (yanantin).</t>
  </si>
  <si>
    <t>Wolfram items: GeoGraphics Aymara region; TimelinePlot[{−1500, Tiwanaku, Inca, present}].</t>
  </si>
  <si>
    <t>Closed-pipe (closed at bottom): f = c/(4 L_eff). Each pipe = single note.</t>
  </si>
  <si>
    <t>End correction: ΔL ≈ 0.82·bore (closed pipe end correction at the open end only).</t>
  </si>
  <si>
    <t>13 pipes split: arka (leader) has 7 pipes (notes 0,4,7,10,14,17,21 semitones from root); ira (follower) has 6 pipes (2,5,9,12,16,19) — interleave gives complete diatonic.</t>
  </si>
  <si>
    <t>Wolfram functions: NDSolve closed-pipe array; Periodogram on recorded interlocking duet.</t>
  </si>
  <si>
    <t>Pipes: bamboo cane, sealed at one end with natural node or wax plug. Tied in a row with cord.</t>
  </si>
  <si>
    <t>Length per pipe: L = c/(4 f) − 0.82·bore. Use sheet's design table for actual lengths.</t>
  </si>
  <si>
    <t>Wolfram items: Manipulate root key + bore → recompute all 13 pipe lengths; ParametricPlot3D pipe array.</t>
  </si>
  <si>
    <t>Standing-wave Animate per pipe: pressure anti-node at top, node at bottom (closed end). Show odd-harmonic-only spectrum.</t>
  </si>
  <si>
    <t>Two-rank duet visualization: highlight which player blows which pipe in turn — animate over a melody.</t>
  </si>
  <si>
    <t>lSiku[f_,bore_]:=343/(4 f) - 0.82 bore</t>
  </si>
  <si>
    <t>arkaSemis = {0,4,7,10,14,17,21}</t>
  </si>
  <si>
    <t>iraSemis = {2,5,9,12,16,19}</t>
  </si>
  <si>
    <t>tuneAll[rootFreq_, semis_]:= rootFreq 2^(semis/12)</t>
  </si>
  <si>
    <t>Manipulate, NDSolve, Periodogram, GeoGraphics, TimelinePlot, CloudDeploy, FormFunction, APIFunction, Export.</t>
  </si>
  <si>
    <t>Wolfram functions: NDEigensystem free-free beam; Periodogram for 3:1 partial verification; FindPeaks for inharmonicity quantification.</t>
  </si>
  <si>
    <t>Node positions: 22.4% and 77.6% from each end — drill cord holes here.</t>
  </si>
  <si>
    <t>kXylo[E_,ρ_]:=(4.730^2/(2 π)) Sqrt[E/(12 ρ)] / 0.0254</t>
  </si>
  <si>
    <t>fBar[t_,L_,K_]:=K t/L^2</t>
  </si>
  <si>
    <t>lBar[f_,t_,K_]:=Sqrt[K t/f]</t>
  </si>
  <si>
    <t>f2Ratio := f2 / f1  (* target ~3 for xylophone, ~4 for marimba *)</t>
  </si>
  <si>
    <t>NDEigensystem, Manipulate, Animate, Periodogram, FindPeaks, SemanticImport, CloudDeploy, FormFunction.</t>
  </si>
  <si>
    <t>WOLFRAM CLOUD NOTEBOOK SPEC — TONGUE DRUM (WOOD)</t>
  </si>
  <si>
    <t>kCant[E_,ρ_]:=(1.875^2/(2 π)) Sqrt[E/(12 ρ)] / 0.0254</t>
  </si>
  <si>
    <t>fTongue[t_,L_,K_]:=K t/L^2</t>
  </si>
  <si>
    <t>lTongue[f_,t_,K_]:=Sqrt[K t/f]</t>
  </si>
  <si>
    <t>tonguePadauk := kCant[11 10^9, 745]  (* example *)</t>
  </si>
  <si>
    <t>NDEigensystem, Manipulate, Animate, Periodogram, SemanticImport, CloudDeploy, FormFunction, APIFunction.</t>
  </si>
  <si>
    <t>WOLFRAM CLOUD NOTEBOOK SPEC — RESONANT BOX (CAPSTONE)</t>
  </si>
  <si>
    <t>Two-resonator coupling shifts both frequencies — full analysis: det(Z_tongue^-1 − ω²M − ω²C) = 0.</t>
  </si>
  <si>
    <t>5-instrument family: each instrument = top with cantilever tongues + base with Helmholtz pocket chambers per tongue.</t>
  </si>
  <si>
    <t>fHelm[A_,V_,L_]:=(c/(2 π)) Sqrt[A/(V L)]</t>
  </si>
  <si>
    <t>coupledModes[f1_,f2_,k_]:= Eigenvalues[{{f1^2, k},{k, f2^2}}]^(1/2)</t>
  </si>
  <si>
    <t>couplingOK[ft_,fh_]:= Abs[fh-ft]/ft &lt; 0.20</t>
  </si>
  <si>
    <t>Eigensystem, NDEigensystem, Manipulate, Animate, Periodogram, CloudDeploy, FormFunction, Export["CDF"].</t>
  </si>
  <si>
    <t>Wolfram functions: NDSolve damped wave eq for string with pickup-position sampling; FFT to predict pickup voltage spectrum at different positions.</t>
  </si>
  <si>
    <t>Wolfram items: Manipulate pickup_x → spectrum of induced voltage; visualize as bar chart of harmonic amplitudes.</t>
  </si>
  <si>
    <t>Pickup-position Animate: slide pickup along string from bridge to neck → live harmonic amplitude readout.</t>
  </si>
  <si>
    <t>String-pluck mode visualizer: show first 5 modes; pickup samples a specific x; voltage = sum of mode amplitudes at that x.</t>
  </si>
  <si>
    <t>pickupHarmonics[x_,L_,nMax_]:=Table[Sin[n π x/L], {n, nMax}]</t>
  </si>
  <si>
    <t>pickupSpectrum[x_,L_,nMax_]:= Abs[pickupHarmonics[x,L,nMax]]</t>
  </si>
  <si>
    <t>Manipulate, Animate, Fourier, Periodogram, Plot, BarChart, CloudDeploy, FormFunction, APIFunction.</t>
  </si>
  <si>
    <t>WOLFRAM CLOUD NOTEBOOK SPEC — ACOUSTIC VIOLIN</t>
  </si>
  <si>
    <t>Air cavity (Helmholtz, ~280 Hz): strong contributor at low end; f-holes set the neck area.</t>
  </si>
  <si>
    <t>Body length 14" (35.5 cm); top plate Sitka or European spruce, back plate flamed maple. Arch profile (~15 mm crown) is critical.</t>
  </si>
  <si>
    <t>Reference targets (Hutchins/Schleske): A0 ~280 Hz, B1− ~440 Hz, B1+ ~530 Hz.</t>
  </si>
  <si>
    <t>Plate eigenmodes ListAnimate: A0, B1−, B1+, CBR over the carved top.</t>
  </si>
  <si>
    <t>Stick-slip bow Animate: show rosin friction → string sticks then slips → sawtooth waveform; tie to FFT bar chart of harmonics.</t>
  </si>
  <si>
    <t>stickSlip[T_,bow_]:=  (* Helmholtz sawtooth model — see Cremer 1984 *)</t>
  </si>
  <si>
    <t>plateModes := NDEigensystem[{plate PDE with arch profile h(x,y)}, w, {x,y} ∈ violinTop, 6]</t>
  </si>
  <si>
    <t>NDEigensystem, FEM (FiniteElement), ToElementMesh, NDSolve, Manipulate, Animate, Periodogram, ListAnimate, CloudDeploy, Export["CDF"].</t>
  </si>
  <si>
    <t>WOLFRAM CLOUD NOTEBOOK SPEC — ELECTRIC VIOLIN</t>
  </si>
  <si>
    <t>CNC-sculpted solid body + piezo bridge pickup — string + pickup, no acoustic body modes.</t>
  </si>
  <si>
    <t>Origin: 1930s–40s solid-body experiments (Stuff Smith, Joe Venuti played early electrics); modern solid-body popularized 1980s–90s (Mark Wood, ZETA, Yamaha SV).</t>
  </si>
  <si>
    <t>Electric violin' descriptive. Often skeletal/sculpted body since acoustic body modes are bypassed.</t>
  </si>
  <si>
    <t>Wolfram items: TimelinePlot[{1930s,1990s,present}]; Entity["MusicalInstrument","Violin"].</t>
  </si>
  <si>
    <t>Strings: Mersenne–Taylor, identical to acoustic. Body resonance bypassed.</t>
  </si>
  <si>
    <t>Piezo pickup at bridge: senses bridge force, captures very wide spectrum (no body filtering). Often EQ'd in preamp to mimic acoustic violin tone.</t>
  </si>
  <si>
    <t>Wolfram functions: NDSolve string motion; FFT for pickup voltage spectrum; transfer-function modeling of preamp EQ.</t>
  </si>
  <si>
    <t>CNC-sculpted body: maple/walnut/ash. Often skeletal (no soundbox). Same string-length as acoustic: 14" body, 13" string scale.</t>
  </si>
  <si>
    <t>Wolfram items: Manipulate body shape parameters; visualize CNC toolpath strategy.</t>
  </si>
  <si>
    <t>Bridge force Animate during stick-slip → piezo voltage waveform → preamp EQ output spectrum.</t>
  </si>
  <si>
    <t>EQ comparison: dry piezo vs acoustic-emulating EQ.</t>
  </si>
  <si>
    <t>piezoVoltage[bridgeForce_]:=k bridgeForce  (* k = piezo coefficient *)</t>
  </si>
  <si>
    <t>emulationEQ[freq_]:=  (* shelf + peak filters approximating violin body transfer *)</t>
  </si>
  <si>
    <t>NDSolve, Fourier, Manipulate, Animate, Periodogram, CloudDeploy, FormFunction.</t>
  </si>
  <si>
    <t>WOLFRAM CLOUD NOTEBOOK SPEC — UKULELE</t>
  </si>
  <si>
    <t>Hawaiian 4-string lute family — Mersenne–Taylor strings on a small soundbox; soprano/concert/tenor sizes.</t>
  </si>
  <si>
    <t>Origin: Hawai'i, 1879 — Portuguese immigrants from Madeira brought machete (small 4-string), which was adapted by Hawaiian luthiers (Augusto Dias, Manuel Nunes, Jose do Espirito Santo). Spread worldwide via 1915 Panama-Pacific Exposition + tin-pan alley.</t>
  </si>
  <si>
    <t>Ukulele' Hawaiian, often glossed 'jumping flea' (one folk etymology). Other accounts: 'uku' (gift) + 'lele' (to come).</t>
  </si>
  <si>
    <t>Wolfram items: GeoGraphics Madeira → Hawai'i → mainland US; TimelinePlot[{1879,1915,1920s,1968→Tiny Tim,2000s revival}]; Entity["MusicalInstrument","Ukulele"].</t>
  </si>
  <si>
    <t>Strings: Mersenne–Taylor f = (1/2L)√(T/μ). 4 strings, standard tuning g'-c'-e'-a' (re-entrant, g' is high — distinctive 'my dog has fleas' sound).</t>
  </si>
  <si>
    <t>Body: small soundbox with sound hole. Helmholtz contribution ~200–300 Hz. Top plate (spruce/cedar/koa) is the radiator.</t>
  </si>
  <si>
    <t>Wolfram functions: NDSolve string + plate modes; Periodogram on plucked tones; FormFunction for tuning calculator.</t>
  </si>
  <si>
    <t>§3 — Geometry &amp; Sizes</t>
  </si>
  <si>
    <t>Soprano: 13" scale, 21" total. Concert: 15". Tenor: 17". Baritone (D-G-B-E like guitar): 19".</t>
  </si>
  <si>
    <t>Body wood: koa (traditional Hawaiian, beautiful figure), mahogany (warmer), spruce (brighter), ply (budget).</t>
  </si>
  <si>
    <t>Wolfram items: Manipulate scale length + tuning → string gauge schedule; visualize size variants side by side.</t>
  </si>
  <si>
    <t>Re-entrant tuning visualizer: highlight that string 4 (g') is HIGHER than string 3 (c').</t>
  </si>
  <si>
    <t>Pluck-to-decay Animate per string with damped sinusoid envelope.</t>
  </si>
  <si>
    <t>muNylon[d_]:=0.04155 π (d/2)^2</t>
  </si>
  <si>
    <t>ukuleleStandard := {392, 261.6, 329.6, 440}  (* g' c' e' a' *)</t>
  </si>
  <si>
    <t>Manipulate, Animate, NDSolve, Periodogram, SemanticImport, GeoGraphics, CloudDeploy, FormFunction.</t>
  </si>
  <si>
    <t>WOLFRAM CLOUD NOTEBOOK SPEC — WHAMOLA BASS</t>
  </si>
  <si>
    <t>Single-string lever bass — pitch by lever-arm tension change, not fretting.</t>
  </si>
  <si>
    <t>Origin: derived from washtub bass (American folk, ~early 20th c.) and African one-string lutes (gunbri, ngoni single-string variants).</t>
  </si>
  <si>
    <t>Whamola' modern coinage; popularized by funk/jazz player Les Claypool and Caribbean folk musicians. Pitch controlled by tilting a lever which changes string tension.</t>
  </si>
  <si>
    <t>Wolfram items: GeoGraphics multi-origin (West Africa + American South); TimelinePlot[{ancient gourd-bass, washtub bass, 1990s whamola revival}].</t>
  </si>
  <si>
    <t>Single string: f = (1/2L)·√(T/μ). On whamola, L is essentially fixed; player varies T by lever arm angle.</t>
  </si>
  <si>
    <t>T = T0 + k·θ where θ is lever angle, k depends on lever-arm geometry. f vs θ: f(θ) = f0·√(1 + (k/T0)·θ).</t>
  </si>
  <si>
    <t>Pickup: P-bass-style magnetic or piezo near bridge. No body modes — solid-body or hollow shell, but tone is dominated by string + pickup.</t>
  </si>
  <si>
    <t>Wolfram functions: NDSolve string under varying T; Manipulate lever angle → live pitch readout; Audio synthesis of pitch sweeps.</t>
  </si>
  <si>
    <t>Body: long board or skeletal frame; lever pivot at top. Bass string (long-scale electric bass string, 34"–36" scale).</t>
  </si>
  <si>
    <t>Wolfram items: Manipulate scale length + lever-arm geometry → pitch range; visualize string under tension.</t>
  </si>
  <si>
    <t>Lever-pitch Animate: tilt lever 0→max, show standing wave compress/stretch, pitch slides.</t>
  </si>
  <si>
    <t>Pickup voltage waveform with pitch glide → spectrogram.</t>
  </si>
  <si>
    <t>fWhamola[T_,L_,μ_]:=1/(2 L) Sqrt[T/μ]</t>
  </si>
  <si>
    <t>tensionFromAngle[T0_,k_,θ_]:=T0 + k θ</t>
  </si>
  <si>
    <t>pitchSweep[θ0_, θ1_, T0_, k_, L_, μ_]:= Plot[fWhamola[tensionFromAngle[T0,k,θ],L,μ], {θ,θ0,θ1}]</t>
  </si>
  <si>
    <t>Manipulate, Animate, NDSolve, Plot, Periodogram, Spectrogram, CloudDeploy, AudioGenerator.</t>
  </si>
  <si>
    <t>WOLFRAM CLOUD NOTEBOOK SPEC — NGONI</t>
  </si>
  <si>
    <t>Mande lute family — Donso (hunter's, 6-string), Kamele (modern, 10–12-string) — pentatonic D-F-G-A-C tuning.</t>
  </si>
  <si>
    <t>Origin: Mande peoples of West Africa (Mali, Guinea, Burkina Faso). Donso ngoni is ancient (associated with hunter's brotherhoods). Kamele ngoni (youth ngoni) modernized 1950s–60s by Allata Brulaye Sidibé.</t>
  </si>
  <si>
    <t>Cousins: kora (harp-lute, larger), xalam (Senegal), akonting (Gambia/Guinea-Bissau — possible banjo ancestor). 'Ngoni' cognate of 'banjo' via diasporic mutation.</t>
  </si>
  <si>
    <t>Wolfram items: GeoGraphics Mali region; TimelinePlot[{ancient donso, 1950s kamele modernization, 2000s world-music spread}].</t>
  </si>
  <si>
    <t>Strings: Mersenne–Taylor on nylon strings stretched over a small skin-headed bowl. f = (1/2L)·√(T/μ).</t>
  </si>
  <si>
    <t>Bowl + goatskin head: weakly Helmholtz + skin radiator; like a small kora.</t>
  </si>
  <si>
    <t>Pentatonic D-F-G-A-C tuning across strings — repeating across octaves.</t>
  </si>
  <si>
    <t>Wolfram functions: NDSolve string + skin head modes (BesselJZero); Periodogram of plucked tones.</t>
  </si>
  <si>
    <t>Donso: 32 cm bowl. Kamele: 32 cm (small) or 45 cm (large). Goatskin head, nylon strings 0.5–1.6 mm gauge.</t>
  </si>
  <si>
    <t>Bowl: traditionally calabash; this sheet's CNC adaptation = segmented/stave wood.</t>
  </si>
  <si>
    <t>Wolfram items: Manipulate bowl size + string lengths; pentatonic tuning visualizer.</t>
  </si>
  <si>
    <t>Pluck-decay Animate per string; skin mode (0,1) (1,1) animation.</t>
  </si>
  <si>
    <t>Pentatonic-pattern Animate cycling through D-F-G-A-C across the strings.</t>
  </si>
  <si>
    <t>pentDFGAC := {293.66, 349.23, 392.00, 440.00, 523.25}  (* D4 F4 G4 A4 C5 *)</t>
  </si>
  <si>
    <t>membraneMode[m_,n_,a_,T_,σ_]:=(BesselJZero[m,n]/(π a)) Sqrt[T/σ]</t>
  </si>
  <si>
    <t>Manipulate, Animate, NDSolve, BesselJZero, Periodogram, GeoGraphics, CloudDeploy, FormFunction.</t>
  </si>
  <si>
    <t>WOLFRAM CLOUD NOTEBOOK SPEC — DUNTONG (ORIGINAL DESIGN)</t>
  </si>
  <si>
    <t>Cylindrical tongue drum — cantilever beam tongues cut into a tube body, original Tony+Claude design.</t>
  </si>
  <si>
    <t>Origin: ORIGINAL DESIGN — Tony + Claude. Inspired by African slit drums + modern tongue drums; novel cylindrical (vs box) format.</t>
  </si>
  <si>
    <t>Name 'Duntong': portmanteau, possibly invented in this workbook. Confirm with user before formalizing.</t>
  </si>
  <si>
    <t>Wolfram items: TimelinePlot of design iterations from sheet revision history; reference cousins (krin, tongue drum, log drums).</t>
  </si>
  <si>
    <t>Tongues: cantilever beam f = K·t/L² (same as planar tongue drum).</t>
  </si>
  <si>
    <t>Body: cylindrical tube → acts as 1D Helmholtz-ish resonator with end conditions depending on construction (4 end configs in this sheet).</t>
  </si>
  <si>
    <t>Coupling: cylindrical body modes (longitudinal: f_n = n·c/2L) couple with tongue spectrum.</t>
  </si>
  <si>
    <t>Wolfram functions: NDEigensystem for cantilever; NDSolve for tube modes; coupled system.</t>
  </si>
  <si>
    <t>§3 — Geometry &amp; Construction</t>
  </si>
  <si>
    <t>2 sizes (this sheet); 4 end configs (open-open, open-closed, closed-closed, vented); 3 construction methods (segmented stave, plywood roll-up, solid log).</t>
  </si>
  <si>
    <t>8-note pentatonic layout. Tongues cut in cylindrical surface — slightly different boundary conditions than planar.</t>
  </si>
  <si>
    <t>Wolfram items: ParametricPlot3D cylinder + tongue cuts; Manipulate end_config + tongue arrangement → live frequencies.</t>
  </si>
  <si>
    <t>End-config comparison: Animate switching among 4 end configurations → see standing-wave + tongue coupling change.</t>
  </si>
  <si>
    <t>Tongue mode 1+2+3 on a curved surface.</t>
  </si>
  <si>
    <t>fTongue[t_,L_,K_]:= K t / L^2</t>
  </si>
  <si>
    <t>fTube[L_, n_, endConfig_]:= If[endConfig=="open-open", n c/(2 L), (2 n-1) c/(4 L)]</t>
  </si>
  <si>
    <t>duntongPent := {C4, D4, E4, G4, A4, C5, D5, E5}</t>
  </si>
  <si>
    <t>NDEigensystem, Manipulate, Animate, Periodogram, CloudDeploy, FormFunction, Export["DXF"|"CDF"].</t>
  </si>
  <si>
    <t>WOLFRAM CLOUD NOTEBOOK SPEC — SEGMENTED CONGA</t>
  </si>
  <si>
    <t>Cuban barrel drum — 34 rings × 20 segments, miter angle 9°, barrel-shaped profile (bulged middle).</t>
  </si>
  <si>
    <t>Origin: Afro-Cuban, evolved from Bantu/Kongo drums (makuta, yuka, ngoma) brought to Cuba via the slave trade. Modern conga (tumbadora) standardized early–mid 20th c.</t>
  </si>
  <si>
    <t>Conga' English/Spanish; Cuban Spanish original 'tumbadora' or specifically by size: quinto (small/high), conga/tres-dos (medium), tumba (large/low).</t>
  </si>
  <si>
    <t>Wolfram items: GeoGraphics Cuba + Bantu/Kongo arrows; TimelinePlot[{slave trade, 1930s rumba, 1950s mambo, modern}].</t>
  </si>
  <si>
    <t>Drumhead: circular membrane f_{m,n} = (j_{m,n}/(2π a))·√(T/σ). Larger head than ashiko → lower fundamental.</t>
  </si>
  <si>
    <t>Barrel-shaped shell: bulged at the equator, tapered at top + bottom. Helmholtz cavity ~80–130 Hz contributes bass.</t>
  </si>
  <si>
    <t>Tone strokes: open tone (fundamental + low partials), slap (high partials emphasized), bass (cavity-coupled).</t>
  </si>
  <si>
    <t>Wolfram functions: BesselJZero for membrane modes; NDEigensystem for barrel shell; Periodogram on tone/slap/bass strokes.</t>
  </si>
  <si>
    <t>Construction: 34 rings × 20 segments = 680 pieces. Miter angle = 180/20 = 9° per edge.</t>
  </si>
  <si>
    <t>Barrel profile: ring outer Ø varies along height, peaking at equator. Use sheet's ring-by-ring cut list.</t>
  </si>
  <si>
    <t>Three woods (sheet pattern): typical maple/walnut/cherry stripe pattern.</t>
  </si>
  <si>
    <t>Wolfram items: ParametricPlot3D barrel; Manipulate top_D, equator_D, bottom_D, height; cut-list export.</t>
  </si>
  <si>
    <t>Ring stack-up Animate.</t>
  </si>
  <si>
    <t>Membrane mode + cavity coupling Animate (open tone vs slap).</t>
  </si>
  <si>
    <t>Lathe-turning Animate showing how stacked rings get cleaned to barrel profile.</t>
  </si>
  <si>
    <t>miter[n_]:=180/n</t>
  </si>
  <si>
    <t>edgeLen[D_,n_]:=Pi D/n</t>
  </si>
  <si>
    <t>totalSegs[34, 20] = 680</t>
  </si>
  <si>
    <t>BesselJZero, NDEigensystem, Manipulate, Animate, ContourPlot3D, CloudDeploy, FormFunction, Export["CSV"|"DXF"].</t>
  </si>
  <si>
    <t>WOLFRAM CLOUD NOTEBOOK SPEC — WOOD SHELL TONGUE DRUM</t>
  </si>
  <si>
    <t>Hybrid: wooden cylindrical shell + steel tongue plate top — combines wood resonance with steel tongue clarity.</t>
  </si>
  <si>
    <t>Hybrid design: combines steel tongue drum (Hapi-style, ~2007) with stave-built wooden shell. Original/contemporary maker scene.</t>
  </si>
  <si>
    <t>Wolfram items: TimelinePlot[{ancient log drums, 2007 Hapi, 2010s artisan hybrids}].</t>
  </si>
  <si>
    <t>Tongues: steel cantilever, f = K·t/L² with K_steel &gt;&gt; K_wood (steel ~6× higher K). Shorter tongues for same pitch as wood.</t>
  </si>
  <si>
    <t>Wood shell: resonant cylinder + Helmholtz cavity. Adds warmth, sustain, bass.</t>
  </si>
  <si>
    <t>Coupling between steel tongue and wood shell: steel modes drive shell modes through clamped boundary.</t>
  </si>
  <si>
    <t>Wolfram functions: NDEigensystem cantilever steel; NDSolve cylinder modes; cross-spectrum analysis.</t>
  </si>
  <si>
    <t>Shell: stave-built or segmented cylinder (similar to ashiko/conga construction but smaller).</t>
  </si>
  <si>
    <t>Steel top plate with cut tongues bolted/glued onto shell. Plate steel ~2–3 mm thick.</t>
  </si>
  <si>
    <t>Wolfram items: Manipulate plate thickness + tongue lengths + shell dims → frequencies.</t>
  </si>
  <si>
    <t>Tongue mode Animate on flat steel plate.</t>
  </si>
  <si>
    <t>Shell-cavity coupling visualization: see how plate vibration drives air column inside shell.</t>
  </si>
  <si>
    <t>kSteel := (1.875^2/(2 π)) Sqrt[200 10^9 /(12·7850)] / 0.0254</t>
  </si>
  <si>
    <t>fTongueSteel[t_,L_]:=kSteel t / L^2</t>
  </si>
  <si>
    <t>fShellHelm[A_,V_,Lneck_]:=(c/(2 π)) Sqrt[A/(V Lneck)]</t>
  </si>
  <si>
    <t>NDEigensystem, NDSolve, Manipulate, Animate, Periodogram, CloudDeploy, FormFunction.</t>
  </si>
  <si>
    <t>WOLFRAM CLOUD NOTEBOOK SPEC — STEEL TONGUE DRUM</t>
  </si>
  <si>
    <t>Propane-tank or sheet-steel tongue drum — Hapi-style, all-metal.</t>
  </si>
  <si>
    <t>Origin: ~2007 Hapi Drum (Dennis Havlena) — invented from a 20-lb propane tank. Spread rapidly through DIY community.</t>
  </si>
  <si>
    <t>Inspired by tongue-drums + handpan. Lower cost than handpan (~$100–300 vs $1500–3000).</t>
  </si>
  <si>
    <t>Wolfram items: TimelinePlot[{2007 Havlena, 2010s commercialization, present}].</t>
  </si>
  <si>
    <t>Steel tongues cut into a closed steel chamber (propane tank or welded sheet). f = K_steel·t/L² (cantilever).</t>
  </si>
  <si>
    <t>Chamber acts as Helmholtz: f_H = (c/2π)·√(A_holes/(V·L_neck)). Coupling tongue + chamber adds sustain.</t>
  </si>
  <si>
    <t>Note: K for steel ~6× wood → tongue lengths shorter, ~3–6" for typical pentatonic range.</t>
  </si>
  <si>
    <t>Wolfram functions: NDEigensystem cantilever steel; Helmholtz formula; Periodogram of struck tongue.</t>
  </si>
  <si>
    <t>20-lb propane tank: 30 cm Ø × 36 cm tall, 2.5 mm wall steel. Or welded 2 mm steel hemispheres.</t>
  </si>
  <si>
    <t>Tongues cut by plasma/laser, ~3–6" long × 1.5" wide. Pentatonic or diatonic scales.</t>
  </si>
  <si>
    <t>Wolfram items: Manipulate tongue lengths → pentatonic scale; ParametricPlot3D tank + cuts.</t>
  </si>
  <si>
    <t>Mode 1 of each tongue Animate; sympathetic ringing across tongues.</t>
  </si>
  <si>
    <t>Helmholtz cavity pressure pulsation.</t>
  </si>
  <si>
    <t>lTongue[f_,t_]:=Sqrt[kSteel t / f]</t>
  </si>
  <si>
    <t>fHelmTank[A_,V_,L_]:=(343/(2 π)) Sqrt[A/(V L)]</t>
  </si>
  <si>
    <t>NDEigensystem, Manipulate, Periodogram, CloudDeploy, FormFunction, APIFunction.</t>
  </si>
  <si>
    <t>WOLFRAM CLOUD NOTEBOOK SPEC — TUBULAR BELLS</t>
  </si>
  <si>
    <t>Hung metal tubes, struck end-on — perceived pitch from harmonic-series fit, not single fundamental.</t>
  </si>
  <si>
    <t>Origin: late 19th c. orchestral substitute for church bells (which are too heavy/expensive). John Hampton (1886) credited with practical version. Mike Oldfield's 1973 album revived public awareness.</t>
  </si>
  <si>
    <t>Cousins: chimes, glockenspiel (free-free bars instead of tubes).</t>
  </si>
  <si>
    <t>Wolfram items: TimelinePlot[{1886, orchestral integration, 1973 Oldfield, present}].</t>
  </si>
  <si>
    <t>Free-free hollow cylinder, transverse vibration: same Euler-Bernoulli math as marimba bar (free-free), but tube cross-section gives I = π(R⁴−r⁴)/4.</t>
  </si>
  <si>
    <t>Modes are inharmonic — partials at f, 2.76f, 5.40f, 8.93f, ... NOT integer harmonic series. Yet listeners perceive a 'strike note' = approximately 2nd partial → struck bell sounds the octave below the actual fundamental.</t>
  </si>
  <si>
    <t>Wolfram functions: NDEigensystem on free-free hollow tube; Periodogram on struck tube; FindPeaks for partial extraction; perceived-pitch model from missing-fundamental psychoacoustics.</t>
  </si>
  <si>
    <t>Brass tubes (rare: chrome-plated brass, gold/silver appearance) ~38 mm OD × 1–2 mm wall, lengths 36–80 cm for chromatic C5–F6 set.</t>
  </si>
  <si>
    <t>Suspended at upper-node point (22.4% from top) to allow free-free vibration.</t>
  </si>
  <si>
    <t>Wolfram items: Manipulate OD/wall/L → mode frequencies; visualize 22.4% suspension point.</t>
  </si>
  <si>
    <t>Mode-shape Animate for tube: 1st (pure 'ding'), 2nd (octave-ish 'strike note'), 3rd, 4th — show why 2nd dominates perception.</t>
  </si>
  <si>
    <t>Striking position Animate: middle vs end strike → different mode amplitudes.</t>
  </si>
  <si>
    <t>iTube[OD_,wall_]:=π (OD^4 - (OD-2 wall)^4)/64</t>
  </si>
  <si>
    <t>fTube[E_,ρ_,OD_,wall_,L_]:= (4.730/L)^2 Sqrt[E iTube[OD,wall]/(ρ π (OD^2-(OD-2 wall)^2)/4)] / (2 π)</t>
  </si>
  <si>
    <t>perceivedPitch[f1_,f2_,f3_]:= f2/2  (* 'strike note' heuristic: 2nd partial divided 2 *)</t>
  </si>
  <si>
    <t>NDEigensystem, Manipulate, Periodogram, FindPeaks, CloudDeploy, FormFunction.</t>
  </si>
  <si>
    <t>WOLFRAM CLOUD NOTEBOOK SPEC — GLOCKENSPIEL</t>
  </si>
  <si>
    <t>Free-free metal bars, no arch, hard mallets — bright, bell-like, 2 octaves higher than xylophone.</t>
  </si>
  <si>
    <t>Origin: derived from sets of small bells (Glocken=bells in German); modern bar form from 18th–19th c. military bands. Steel bars replaced bell sets for portability.</t>
  </si>
  <si>
    <t>Glockenspiel' German 'bell play'. UK/orchestral term: 'bells' (in some scores); marching: 'bell lyre' or 'orchestra bells'.</t>
  </si>
  <si>
    <t>Wolfram items: TimelinePlot[{18th c. bell sets, 1819 Berlioz uses orchestra bells, modern}].</t>
  </si>
  <si>
    <t>Free-free beam, NO arch (like xylophone but metal). Steel/aluminum bars.</t>
  </si>
  <si>
    <t>Mode 1: f = K·t/L², K_steel ~6× K_wood → bars much shorter than xylophone for same pitch.</t>
  </si>
  <si>
    <t>Resonators rare on glockenspiel (small bars, dry tone is desired).</t>
  </si>
  <si>
    <t>Wolfram functions: NDEigensystem free-free metal beam; Periodogram for partial verification.</t>
  </si>
  <si>
    <t>Sheet has 5 metal K constants: steel, aluminum, brass, possibly bronze. Bars 4–12" long × 0.5–1" wide × 0.2–0.4" thick.</t>
  </si>
  <si>
    <t>25 bars chromatic C5–C7 (this sheet's spec). Walnut frame (CNC). Hard rubber/lexan/brass mallets.</t>
  </si>
  <si>
    <t>Wolfram items: Manipulate metal + dims → frequency; visualize bar layout in walnut frame.</t>
  </si>
  <si>
    <t>Mode-1 free-free Animate; mallet impact + decay envelope.</t>
  </si>
  <si>
    <t>Material comparison: steel vs aluminum vs brass for same dims → different f.</t>
  </si>
  <si>
    <t>kMetal[E_,ρ_]:=(4.730^2/(2 π)) Sqrt[E/(12 ρ)] / 0.0254</t>
  </si>
  <si>
    <t>kSteel = kMetal[200 10^9, 7850]</t>
  </si>
  <si>
    <t>kAlum = kMetal[70 10^9, 2700]</t>
  </si>
  <si>
    <t>lBar[f_,t_,K_]:=Sqrt[K t / f]</t>
  </si>
  <si>
    <t>WOLFRAM CLOUD NOTEBOOK SPEC — CAJÓN</t>
  </si>
  <si>
    <t>Peruvian box drum — front-face plate (tapa) + snare wires inside → two-zone tone (bass + slap).</t>
  </si>
  <si>
    <t>Origin: 18th–19th c. Peru, Afro-Peruvian communities. Possibly evolved from shipping crates after slave-owners banned drums. Modern flamenco cajón added snare wires (1970s, Paco de Lucía + Caitro Soto).</t>
  </si>
  <si>
    <t>Cajón' Spanish 'box, drawer'. Two main lineages today: Peruvian (no snare, deeper bass) + Flamenco (snare wires, sharper slap).</t>
  </si>
  <si>
    <t>Wolfram items: GeoGraphics Peru + Spain; TimelinePlot[{18th c. Peru, 1970s flamenco adoption, 2000s pop ubiquity}].</t>
  </si>
  <si>
    <t>Front face (tapa, 3 mm plywood): clamped-edge plate, bass tone from low-mode plate vibration coupled to box cavity.</t>
  </si>
  <si>
    <t>Box cavity: Helmholtz with sound hole on back. f_H typical 80–150 Hz.</t>
  </si>
  <si>
    <t>Snare wires inside: clamped against tapa, vibrate at high frequencies during slap → adds sizzle.</t>
  </si>
  <si>
    <t>Two zones: hit center → bass (mode 1 dominates); hit edge → slap (high modes + snare).</t>
  </si>
  <si>
    <t>Wolfram functions: NDEigensystem clamped plate; Helmholtz formula; Periodogram of bass vs slap strokes; ListAnimate plate modes.</t>
  </si>
  <si>
    <t>Body: 30 × 30 × 50 cm (typical). 5 sides 12–18 mm plywood, front 3 mm Baltic birch tapa. Sound hole back.</t>
  </si>
  <si>
    <t>Wood: birch ply standard, walnut/cherry/oak premium for sides; tapa species swappable for tonal flavor.</t>
  </si>
  <si>
    <t>Wolfram items: Manipulate tapa thickness + box volume + sound-hole area → bass mode + Helmholtz.</t>
  </si>
  <si>
    <t>Tapa mode (1,1) + (2,1) + (1,2) ListAnimate; show how center strike excites (1,1), edge strike excites high modes.</t>
  </si>
  <si>
    <t>Snare-wire vibration overlay during slap stroke.</t>
  </si>
  <si>
    <t>fPlate[a_,b_,h_,E_,ρ_,ν_]:= (π/2) Sqrt[E h^2/(12 ρ (1-ν^2))] (1/a^2 + 1/b^2)  (* (1,1) clamped *)</t>
  </si>
  <si>
    <t>fHelm[A_,V_,L_]:=(343/(2 π)) Sqrt[A/(V L)]</t>
  </si>
  <si>
    <t>bassStroke := strike center → mode (1,1) + cavity</t>
  </si>
  <si>
    <t>slapStroke := strike edge → high modes + snare</t>
  </si>
  <si>
    <t>NDEigensystem, Manipulate, Animate, ContourPlot, Periodogram, CloudDeploy, FormFunction.</t>
  </si>
  <si>
    <t>WOLFRAM CLOUD NOTEBOOK SPEC — OCARINA</t>
  </si>
  <si>
    <t>Helmholtz vessel flute — pitch from cavity volume + hole area, NOT pipe length.</t>
  </si>
  <si>
    <t>Origin: ancient Mesoamerican (Maya, Aztec) clay vessel flutes; 5000+ years old. Modern European form codified 1853 by Giuseppe Donati (Budrio, Italy) — the 'sweet potato' shape.</t>
  </si>
  <si>
    <t>Ocarina' from Italian 'ocarina' (small goose). Donati's 7-piece family standardized; Asian variants (xun in China, hun in Korea) parallel ancient pottery flutes.</t>
  </si>
  <si>
    <t>Wolfram items: GeoGraphics Mesoamerica + Italy + East Asia; TimelinePlot[{−3000 Mesoamerica, ancient xun, 1853 Donati, 1998 Zelda Ocarina of Time, present}].</t>
  </si>
  <si>
    <t>Helmholtz resonator: f = (c/2π)·√(A_open/(V·L_neck)). NOT a pipe — pitch depends on TOTAL open hole area, not which holes are open.</t>
  </si>
  <si>
    <t>Implication: any combination of holes giving same total area gives same pitch. Fingering systems exploit this for ergonomic note layouts.</t>
  </si>
  <si>
    <t>Wolfram functions: Helmholtz formula; Periodogram of recorded note; FindRoot for hole-area-from-target-pitch.</t>
  </si>
  <si>
    <t>Sweet-potato shape (Donati): ~12 cm long, 5 cm wide. 12 holes typical for chromatic alto C. Fipple windway directs jet across edge.</t>
  </si>
  <si>
    <t>Materials: ceramic (slip-cast porcelain or stoneware). Alternatives: wood, plastic, metal.</t>
  </si>
  <si>
    <t>Wolfram items: Manipulate cavity volume + hole pattern → fingering chart; ParametricPlot3D vessel shape.</t>
  </si>
  <si>
    <t>Hole-area-to-pitch Animate: open holes one by one in different orders → see same pitch reached by different orderings (the 'cross-fingering' phenomenon).</t>
  </si>
  <si>
    <t>Helmholtz pressure-pulsation Animate inside vessel.</t>
  </si>
  <si>
    <t>fOcarina[A_,V_,L_]:=(343/(2 π)) Sqrt[A/(V L)]</t>
  </si>
  <si>
    <t>areaFromPitch[f_,V_,L_]:=V L (2 π f / 343)^2</t>
  </si>
  <si>
    <t>fingeringAreaSum[holes_, pattern_]:= Total[holes[[Position[pattern, True]]]]</t>
  </si>
  <si>
    <t>Manipulate, Animate, NDSolve, FindRoot, Periodogram, GeoGraphics, CloudDeploy, FormFunction.</t>
  </si>
  <si>
    <t>WOLFRAM CLOUD NOTEBOOK SPEC — UDU DRUM FAMILY</t>
  </si>
  <si>
    <t>Igbo (Nigeria) ceramic pot drum — DUAL Helmholtz (top hole + side hole) gives 2 distinct tones.</t>
  </si>
  <si>
    <t>Origin: Igbo people of southeastern Nigeria. Traditionally water jar repurposed as drum by women (sacred-instrument lineage).</t>
  </si>
  <si>
    <t>Udu' Igbo for 'pot/vessel'. Cousins: kim kim (smaller), ibo drum, udongo (larger).</t>
  </si>
  <si>
    <t>Wolfram items: GeoGraphics Igboland (SE Nigeria); TimelinePlot[{ancient pot drums, 1965 Frank Giorgini popularization, modern artisan studios}].</t>
  </si>
  <si>
    <t>Dual Helmholtz: top hole + side hole share the same chamber → two coupled Helmholtz modes.</t>
  </si>
  <si>
    <t>Top mode: f1 = (c/2π)·√(A_top/(V·L_top)). Side mode similar.</t>
  </si>
  <si>
    <t>Coupling: when both open, modes split; when side covered/uncovered by hand, pitch jumps audibly — playing technique exploits this for 'wet' pitch bends.</t>
  </si>
  <si>
    <t>Wolfram functions: 2-resonator Helmholtz coupled-mode analysis; Eigensystem for the 2×2 system.</t>
  </si>
  <si>
    <t>4 sizes (S/M/L/XL) + 5 variants (Utar, Kim Kim, Claytone, Udongo, Water udu). Slip-cast porcelain or stoneware.</t>
  </si>
  <si>
    <t>Top hole ~30–60 mm; side hole ~20–40 mm. Volume varies by size.</t>
  </si>
  <si>
    <t>Wolfram items: Manipulate top_A, side_A, V → coupled-mode frequencies; ParametricPlot3D pot shape.</t>
  </si>
  <si>
    <t>Hand-on-side-hole Animate: cover/uncover side → see pitch jump in real time.</t>
  </si>
  <si>
    <t>Coupled-mode visualizer: in-phase vs out-of-phase oscillation.</t>
  </si>
  <si>
    <t>coupledUdu[A1_,A2_,V_,L1_,L2_]:= Eigenvalues[ matrix ]^(1/2)</t>
  </si>
  <si>
    <t>uduSizes := {{small, V_S}, {medium, V_M}, {large, V_L}, {xl, V_XL}}</t>
  </si>
  <si>
    <t>Eigensystem, Manipulate, Animate, FindRoot, Periodogram, CloudDeploy, FormFunction.</t>
  </si>
  <si>
    <t>WOLFRAM CLOUD NOTEBOOK SPEC — CERAMIC TONGUE DRUM</t>
  </si>
  <si>
    <t>Cantilever-beam tongues in fired ceramic — distinct inharmonic spectrum, 17-material acoustic comparison.</t>
  </si>
  <si>
    <t>Original design: fired-ceramic version of wooden tongue drum. Material change shifts spectrum (high E and low damping → bell-like, longer sustain).</t>
  </si>
  <si>
    <t>Cousins: ceramic bell, wooden tongue drum, slit drum.</t>
  </si>
  <si>
    <t>Wolfram items: TimelinePlot of ceramic-instrument tradition + modern artisan adaptation.</t>
  </si>
  <si>
    <t>Tongues: cantilever beam f = K·t/L² with ceramic K (depends on bisque vs glaze fire, body type — 17-material compare in this sheet).</t>
  </si>
  <si>
    <t>Inharmonic modes: f2/f1 = 6.27 for cantilever (vs 4 for true free-free arched marimba). Ceramic body unlikely to resonate strongly with tongues → cleaner spectrum.</t>
  </si>
  <si>
    <t>Helmholtz coupling possible if hollow-cast body has cavity + port.</t>
  </si>
  <si>
    <t>Wolfram functions: NDEigensystem cantilever; Periodogram for inharmonic-spectrum verification.</t>
  </si>
  <si>
    <t>17 ceramic materials (sheet's compare): porcelain, stoneware, earthenware variants. K constants depend strongly on firing temperature + clay body composition.</t>
  </si>
  <si>
    <t>Tongues: cut into a fired top plate, or cast as part of a hollow body.</t>
  </si>
  <si>
    <t>Wolfram items: Manipulate ceramic K + thickness → frequencies; bar-chart compare across 17 materials.</t>
  </si>
  <si>
    <t>Cantilever mode 1+2 Animate.</t>
  </si>
  <si>
    <t>Material-comparison animated bar chart: scroll through 17 materials, see f shift.</t>
  </si>
  <si>
    <t>kCeramic[E_,ρ_]:=(1.875^2/(2 π)) Sqrt[E/(12 ρ)] / 0.0254</t>
  </si>
  <si>
    <t>kPorcelain := kCeramic[70 10^9, 2400]  (* example *)</t>
  </si>
  <si>
    <t>fTongue[t_,L_,K_]:=K t / L^2</t>
  </si>
  <si>
    <t>synthesize := Sound[ tongue freqs + decay envelope ] for Wolfram preview</t>
  </si>
  <si>
    <t>NDEigensystem, Manipulate, Animate, Periodogram, BarChart, CloudDeploy, AudioGenerator.</t>
  </si>
  <si>
    <t>WOLFRAM CLOUD NOTEBOOK SPEC — CERAMIC ELECTRIC VIOLIN</t>
  </si>
  <si>
    <t>Slip-cast porcelain body + wood neck + piezo bridge — material as visual statement, electronics as voice.</t>
  </si>
  <si>
    <t>Original design: ceramic-bodied electric violin. Lineage of solid-body electrics + ceramic-instrument tradition (xun, ocarina, ceramic bells).</t>
  </si>
  <si>
    <t>Wolfram items: TimelinePlot reference of ceramic instruments + modern e-violin makers.</t>
  </si>
  <si>
    <t>Strings: Mersenne–Taylor — same as wood-body electric violin. Body acoustic modes irrelevant (bypassed by piezo).</t>
  </si>
  <si>
    <t>Piezo at bridge captures bridge force directly. Ceramic body has high E, high ρ → moderately stiff but relatively dense; doesn't matter for tone.</t>
  </si>
  <si>
    <t>Wolfram functions: NDSolve string + piezo voltage; FFT for spectrum; preamp EQ to emulate acoustic violin formants.</t>
  </si>
  <si>
    <t>Slip-cast porcelain body (3D-print master → silicone mold → slip cast → bisque + glaze fire). Wood neck (maple/walnut) glued + clamped to ceramic body.</t>
  </si>
  <si>
    <t>4 body concepts in this sheet; engineering constraints: ceramic shrinkage (~12%), drying cracks, neck-joint stress.</t>
  </si>
  <si>
    <t>Wolfram items: Manipulate body shape; account for shrinkage in dim calc.</t>
  </si>
  <si>
    <t>Slip-cast process Animate: model → mold → slip pour → drain → fire → glaze.</t>
  </si>
  <si>
    <t>Pluck-to-piezo Animate.</t>
  </si>
  <si>
    <t>shrinkComp[finalDim_, shrinkRate_]:=finalDim/(1-shrinkRate)  (* bisque dim before firing *)</t>
  </si>
  <si>
    <t>piezoEmuEQ := preamp shelf+peak filters</t>
  </si>
  <si>
    <t>Manipulate, NDSolve, Fourier, Periodogram, CloudDeploy, FormFunction, Export["STL"] for 3D-print master.</t>
  </si>
  <si>
    <t>WOLFRAM CLOUD NOTEBOOK SPEC — RAINSTICK</t>
  </si>
  <si>
    <t>Stochastic shaker — pin-grid in cactus or bamboo tube + filling beads, sound is filtered noise.</t>
  </si>
  <si>
    <t>Origin: indigenous to South America (likely Mapuche, Diaguita) + parallel African pluri-arc shakers; rainstick form codified from Atacama Desert dried-cactus tradition.</t>
  </si>
  <si>
    <t>Used in rain ceremonies (sympathetic-magic invocation of rain). Modern souvenir + meditation use is global.</t>
  </si>
  <si>
    <t>Wolfram items: GeoGraphics Andes/Atacama; Entity["Country","Chile"] highlighting Atacama region.</t>
  </si>
  <si>
    <t>§2 — Physics &amp; Acoustics</t>
  </si>
  <si>
    <t>Stochastic process: beads rolling/falling past pin grid → poisson-distributed click events → broadband noise filtered by tube modes.</t>
  </si>
  <si>
    <t>Tube acts as resonator: f_n = n c/(2L) (open-open) or c/4L (closed). Tube modes shape the noise spectrum.</t>
  </si>
  <si>
    <t>Wolfram functions: RandomFunction for click stream; AudioGenerator for synthesis; Periodogram for measured spectrum; Fourier on recorded sample.</t>
  </si>
  <si>
    <t>Body: cactus (traditional) — Eulychnia acida or Echinopsis pachanoi dried; alternatives: bamboo, cardboard tube, CNC-routed wood. ~30–100 cm × 4–6 cm Ø.</t>
  </si>
  <si>
    <t>Pin grid: thorns of dried cactus (in-situ) or threaded screws/wire pins through walls.</t>
  </si>
  <si>
    <t>Filling: small pebbles, dried beans, plastic beads, sand. Filling type changes timbre.</t>
  </si>
  <si>
    <t>§4 — Executable Cells &amp; Wolfram Functions</t>
  </si>
  <si>
    <t>clickStream[λ_, dur_]:= RandomVariate[PoissonDistribution[λ dur], 100]</t>
  </si>
  <si>
    <t>tubeFilter[L_, n_]:= n c/(2 L)</t>
  </si>
  <si>
    <t>synth := AudioGenerator filtered Poisson clicks * tube transfer function</t>
  </si>
  <si>
    <t>Wolfram funcs: AudioGenerator, RandomFunction, PoissonDistribution, Periodogram, Fourier, Manipulate, CloudDeploy.</t>
  </si>
  <si>
    <t>WOLFRAM CLOUD NOTEBOOK SPEC — CNC FLUTE DIMENSIONS (LEGACY)</t>
  </si>
  <si>
    <t>Legacy exploratory NAF design table B3–D5 Pentatonic Minor. Wolfram notebook = data archaeology + model validation.</t>
  </si>
  <si>
    <t>§1 — Purpose</t>
  </si>
  <si>
    <t>This sheet predates the world-flute design tables. Use the Wolfram notebook to: (1) re-validate hole positions against modern K2 corrections; (2) identify which keys here were never built; (3) compare against current NAF best-practice.</t>
  </si>
  <si>
    <t>§2 — Acoustic Re-validation</t>
  </si>
  <si>
    <t>Re-run open-open pipe model with K2 correction by bore (sheet's bore range). Compare to original predictions; flag keys that exceed ±5 cents.</t>
  </si>
  <si>
    <t>Wolfram functions: SemanticImport["Flutes-AI.xlsx","CNC Flute Dimensions"]; tabulate predicted-vs-recommended hole positions; Dataset for diff display.</t>
  </si>
  <si>
    <t>§3 — Cross-reference to 'Built'</t>
  </si>
  <si>
    <t>Cross-join with Built sheet: which keys from this design table actually got built? Use Query / Join / GroupBy.</t>
  </si>
  <si>
    <t>Outcome: list of un-built keys + recommendation (build / skip / supersede with newer design).</t>
  </si>
  <si>
    <t>§4 — Wolfram Functions</t>
  </si>
  <si>
    <t>SemanticImport, Dataset, Query, GroupBy, Join, Manipulate, BarChart, CloudDeploy, FormFunction.</t>
  </si>
  <si>
    <t>WOLFRAM CLOUD NOTEBOOK SPEC — LOW TO HIGH RANGE (LEGACY)</t>
  </si>
  <si>
    <t>Legacy NAF design table G3–D6, Pentatonic + Arabic scales, 32 keys. Wolfram = master cross-reference.</t>
  </si>
  <si>
    <t>This is the most-used legacy NAF reference. Wolfram notebook serves as: (1) interactive key picker linked to scales; (2) build-history overlay (what's actually been made); (3) K2 correction overlay.</t>
  </si>
  <si>
    <t>§2 — Interactive Key Picker</t>
  </si>
  <si>
    <t>Manipulate[ ] dropdown for key + scale (Pentatonic Minor / Double Harmonic / Arabic) → live recompute hole positions; export as PDF cut-list.</t>
  </si>
  <si>
    <t>Wolfram functions: Manipulate, FormFunction, APIFunction, Export["PDF"].</t>
  </si>
  <si>
    <t>§3 — K2 Correction Overlay</t>
  </si>
  <si>
    <t>Apply K2 correction by bore to each row; compare to flat-model predictions; show drift in cents.</t>
  </si>
  <si>
    <t>Wolfram items: Plot row-by-row K2 correction vs key + bore.</t>
  </si>
  <si>
    <t>§4 — Build-History Overlay</t>
  </si>
  <si>
    <t>Cross-reference with Built sheet: which keys/scales most popular? Histogram[ ]; PieChart[ ]; trend over time using TimelinePlot.</t>
  </si>
  <si>
    <t>§5 — Wolfram Functions</t>
  </si>
  <si>
    <t>SemanticImport, Dataset, Query, Manipulate, Histogram, TimelinePlot, CloudDeploy, FormFunction, APIFunction, Export.</t>
  </si>
  <si>
    <t>WOLFRAM CLOUD NOTEBOOK SPEC — MODE 1&amp;4 PENT. (LEGACY)</t>
  </si>
  <si>
    <t>Legacy flute calculator G3–Ab5, modes 1 + 4 of pentatonic. Wolfram = scale-mode visualizer.</t>
  </si>
  <si>
    <t>Mode comparison: Pentatonic Minor (mode 1, dark/sad) vs Mode 4 (uplifting/Egyptian). Same fingering positions, different tonal centers — pivotal for NAF musicality.</t>
  </si>
  <si>
    <t>§2 — Mode Visualization</t>
  </si>
  <si>
    <t>Plot the two scales on a circle (chromatic clock) showing tonic shift; play synthesized melodies in each.</t>
  </si>
  <si>
    <t>Wolfram functions: SoundNote, AudioGenerator, ListPlot on chromatic circle, Manipulate to switch modes.</t>
  </si>
  <si>
    <t>§3 — Hole-Position Cross-Check</t>
  </si>
  <si>
    <t>Compare predicted hole positions to current best-practice; both modes share fingering, only the labelled tonic differs — sanity-check that hole positions are mode-independent.</t>
  </si>
  <si>
    <t>SemanticImport, AudioGenerator, SoundNote, Sound, ListPlot, Manipulate, CloudDeploy, FormFunction.</t>
  </si>
  <si>
    <t>WOLFRAM CLOUD NOTEBOOK SPEC — CNC GUITAR BODIES (REFERENCE)</t>
  </si>
  <si>
    <t>Blueprint reference dimensions for Jazz Bass + Les Paul '59 + '62 Strat. Wolfram = parametric body-shape generator.</t>
  </si>
  <si>
    <t>Reference sheet (not a fabrication target). Wolfram notebook value: (1) parametric body-shape comparison; (2) vector-export for SolidWorks / CNC; (3) ergonomic-fit visualization.</t>
  </si>
  <si>
    <t>§2 — Parametric Body Shapes</t>
  </si>
  <si>
    <t>Approximate Strat/Les Paul/Jazz Bass outlines as BSplineCurve traced from blueprint photos; parameterize body width, waist position, horn length.</t>
  </si>
  <si>
    <t>Wolfram functions: BSplineCurve, BSplineFunction, Manipulate, GeometricTransformation, RegionPlot.</t>
  </si>
  <si>
    <t>§3 — Vector Export for CAD/CNC</t>
  </si>
  <si>
    <t>Export body outline as DXF for SolidWorks / Fusion 360 / ShopBot import.</t>
  </si>
  <si>
    <t>Wolfram functions: Export["shape.dxf", graphics, "DXF"]; Export["shape.svg"] for laser-cut templates.</t>
  </si>
  <si>
    <t>BSplineCurve, Manipulate, RegionPlot, ListContourPlot, Export["DXF"|"SVG"|"STL"], CloudDeploy.</t>
  </si>
  <si>
    <t>WOLFRAM EXPLORATIONS — KORA</t>
  </si>
  <si>
    <t>Curated from the wolfram-notebooks-roadmap brainstorm — pick a row, file an issue, build the notebook.</t>
  </si>
  <si>
    <t>Roadmap-inspired notebook ideas tailored to this sheet:</t>
  </si>
  <si>
    <t xml:space="preserve">  • String Spectrum Synthesizer (Sound Synthesis) — Mersenne-Taylor harmonics with pluck envelope; toggle plain nylon vs wound bass; AudioGenerator + Periodogram overlay.</t>
  </si>
  <si>
    <t xml:space="preserve">  • Segmented Bowl Ring Calculator (Manipulate) — Sliders for segments/ring + bowl Ø + wood pattern → 3D ring stack with diamond-pattern color preview.</t>
  </si>
  <si>
    <t xml:space="preserve">  • String Schedule Optimizer (NMinimize) — Find gauge schedule that minimizes %breaking variance across 21 strings — solves the current TODO at A158 (strings 1–5 + #18 over 80%).</t>
  </si>
  <si>
    <t xml:space="preserve">  • Bridge-Plate Coupling Model (FEM) — NDEigensystem on goatskin head with point-force input from notched bridge; verify head modes don't mask bass strings.</t>
  </si>
  <si>
    <t xml:space="preserve">  • Cultural Atlas: West African Harp-Lute Family — GeoGraphics + audio samples for kora, ngoni, xalam, akonting; phylogeny tree showing diaspora connection to banjo.</t>
  </si>
  <si>
    <t xml:space="preserve">  • AI Test-Melody Generator (Mande pentatonics) — Anthropic API call → traditional griot-style phrase in Silaba/Tomora/Sauta tuning → MIDI export for build evaluation.</t>
  </si>
  <si>
    <t xml:space="preserve">  • Humidity-Corrected Tuning (live data bridge) — Live AcuRite/Wrfcoin → nylon EMC model → predicted treble pitch drift across a session.</t>
  </si>
  <si>
    <t>WOLFRAM EXPLORATIONS — MARIMBA</t>
  </si>
  <si>
    <t xml:space="preserve">  • Cantilever-vs-Free-Free Mode Shape Animator (NDSolve) — Animate first 5 modes side-by-side for both BCs; SEE why 22.4% nodes matter and why arch undercut tunes mode 4 separately.</t>
  </si>
  <si>
    <t xml:space="preserve">  • Arch-Undercut Optimizer (NMinimize) — Given target f and partial ratios (1:4:10), find arch-depth profile that hits all three; constraint: center thickness ≥ 0.25".</t>
  </si>
  <si>
    <t xml:space="preserve">  • 17-Tonewood Material Scatter (Publication) — Interactive ListPlot E vs ρ, point size = K, color by tonewood-rating ★; click point → live recompute bar lengths.</t>
  </si>
  <si>
    <t xml:space="preserve">  • Resonator Tube Coupling Model — Coupled bar+tube oscillator; sweep tube length detune ±5% to show sweet-spot Q.</t>
  </si>
  <si>
    <t xml:space="preserve">  • Tolerance Stack-Up (Monte Carlo) — ±0.005" bar thickness + ±0.02" length → pitch error distribution; how tight does the planer need to be?</t>
  </si>
  <si>
    <t xml:space="preserve">  • Wood Grain Orientation Effect — Rotate bar grain 0°→90° and quantify K shift — informs blank orientation on the lathe/planer.</t>
  </si>
  <si>
    <t>WOLFRAM EXPLORATIONS — TIN WHISTLE</t>
  </si>
  <si>
    <t xml:space="preserve">  • Reynolds Number → Breath Threshold — Laminar/turbulent transition at the fipple; predict overblow pressure for octave jump.</t>
  </si>
  <si>
    <t xml:space="preserve">  • End-Correction Derivation (boundary layer) — Derive 0.6×r from first principles instead of taking it on faith; validate vs measured tin whistle pitches.</t>
  </si>
  <si>
    <t xml:space="preserve">  • My Whistle vs Generations vs Sindt (Real-World) — Spectrogram overlay of 3 commercial D whistles; quantify breathiness, harmonic content, response time.</t>
  </si>
  <si>
    <t xml:space="preserve">  • Hole-Pattern Sensitivity — ∂f/∂x_i for each hole — which hole position is the most pitch-critical?</t>
  </si>
  <si>
    <t>WOLFRAM EXPLORATIONS — HANDPAN</t>
  </si>
  <si>
    <t xml:space="preserve">  • Tone Field 3-Partial Synthesizer — Synthesize each field as fundamental + 2× + 3× with slight detuning; AudioGenerator scale playthrough; tablet demo at art fair.</t>
  </si>
  <si>
    <t xml:space="preserve">  • Helmholtz Gu Tuner (Manipulate) — Sliders for shell V, port A, port L → live Gu pitch; design constraint: Gu ~2 octaves below lowest field.</t>
  </si>
  <si>
    <t xml:space="preserve">  • Curved-Shell FEM (NDEigensystem) — Kirchhoff-Love shell on the dimpled steel; eigenmode visualization shows why hammered curvature locks 1:2:3 partials.</t>
  </si>
  <si>
    <t xml:space="preserve">  • Note-Field Modal Crosstalk Map — Strike one field → measure sympathetic ringing on others; FEM overlap integral predicts which fields ring together.</t>
  </si>
  <si>
    <t xml:space="preserve">  • Pentatonic Scale Playground (art-fair tablet demo) — Click the 9 fields on a virtual layout → hear chord stack + see waveform; deploy via CloudDeploy as APIFunction.</t>
  </si>
  <si>
    <t xml:space="preserve">  • Climate-Aware Tuning — Steel +3 cents/°C cold; Helmholtz Gu shifts with air density; recommend warm-up time for outdoor gigs.</t>
  </si>
  <si>
    <t>WOLFRAM EXPLORATIONS — STEEL PAN</t>
  </si>
  <si>
    <t xml:space="preserve">  • Note Isolation FEM — Plate vibration model showing why circle-of-fifths layout minimizes modal crosstalk between adjacent notes.</t>
  </si>
  <si>
    <t xml:space="preserve">  • Tone-Note Tuning (1:2:3) — FEM predict + AudioRecord measured → cents error per partial; tuner-friendly visualization.</t>
  </si>
  <si>
    <t xml:space="preserve">  • Drum Skirt Length vs Timbre — Skirt acts as cavity resonator; sweep length 5–25 cm and show timbral shift on synthesized + measured strikes.</t>
  </si>
  <si>
    <t xml:space="preserve">  • Cultural Atlas: Trinidadian Steel Music — GeoGraphics Trinidad → diaspora; TimelinePlot tamboo-bamboo to Panorama competition; embed audio samples.</t>
  </si>
  <si>
    <t xml:space="preserve">  • Heat-Treatment Stress-Relief Simulation — Thermal FEA on hammered pan; predict residual-stress redistribution post-tempering.</t>
  </si>
  <si>
    <t>WOLFRAM EXPLORATIONS — DIDGERIDOO</t>
  </si>
  <si>
    <t xml:space="preserve">  • Conical Bore Impedance (Transfer Matrix) — Transfer-matrix method for non-cylindrical bore; predict toot frequency vs profile exponent p.</t>
  </si>
  <si>
    <t xml:space="preserve">  • Cross-Section Sweep Animator — Plane sweeps through 3D bore model — visceral way to see how cylinder→cone→bell changes the resonance ladder.</t>
  </si>
  <si>
    <t xml:space="preserve">  • Vocal-Tract Coupled Synth — Player tract + bore impedance; manipulate tongue position → formants sweep across drone spectrum (audible morph).</t>
  </si>
  <si>
    <t xml:space="preserve">  • Termite-Bore Irregular Shape Solver — Webster horn equation on an arbitrary measured r(z) profile; predict drone + toot from any blank.</t>
  </si>
  <si>
    <t xml:space="preserve">  • Cultural Map: Arnhem Land Yidaki Traditions — GeoGraphics Yolngu / Kunwinjku regions; cite proper names; respectful attribution layer.</t>
  </si>
  <si>
    <t>WOLFRAM EXPLORATIONS — FLOOR HARP</t>
  </si>
  <si>
    <t xml:space="preserve">  • 34-String Spectrum Synthesizer — Mersenne-Taylor + stiffness inharmonicity per string; pluck-envelope synthesis; full glissando playback for tuning audit.</t>
  </si>
  <si>
    <t xml:space="preserve">  • String Schedule Optimizer (NMinimize) — Find gauges that flatten %breaking across treble→bass; constraint: total tension load &lt; frame yield.</t>
  </si>
  <si>
    <t xml:space="preserve">  • Frame Load Sensitivity — Frame deflection vs string tension; FEM on triangular frame — does the pillar need a steel reinforcement?</t>
  </si>
  <si>
    <t xml:space="preserve">  • Soundboard Mode Mapping — NDEigensystem on tapered spruce top; ListAnimate (1,1) (2,1) (1,2) modes; cite radiation-efficiency formula.</t>
  </si>
  <si>
    <t xml:space="preserve">  • Hall IR Convolution — Same harp recorded → convolved with cathedral / concert hall / small room IRs; show how venue shapes the harp's voice.</t>
  </si>
  <si>
    <t xml:space="preserve">  • Lap-Harp 19-String Variant Comparison — Side-by-side spectrum + tension load against full 34-string; informs decision tree for builds.</t>
  </si>
  <si>
    <t>WOLFRAM EXPLORATIONS — STAVE LUTE / OUD</t>
  </si>
  <si>
    <t xml:space="preserve">  • Steam-Bending Kinetics — Arrhenius on hemicellulose softening; derive '1 hour per inch at 212°F' rule from first principles for 14–21 ribs.</t>
  </si>
  <si>
    <t xml:space="preserve">  • Rib-Glue-Up Symmetry CAD — Model 1 of N ribs, instantiate × N rotations; export STL of mold form for CNC.</t>
  </si>
  <si>
    <t xml:space="preserve">  • Soundboard Rosette Acoustic Effect — Compute lattice rosette open-area ratio; effect on Helmholtz pitch + plate radiation.</t>
  </si>
  <si>
    <t xml:space="preserve">  • Bowl Phylogeny Tree — Visualize barbat → al-ʿūd → European lute → vihuela → guitar lineage; embed regional audio samples.</t>
  </si>
  <si>
    <t xml:space="preserve">  • Course Tuning Optimizer — For 11-string oud or 8-course lute, find tension distribution that maintains balanced timbre across the range.</t>
  </si>
  <si>
    <t xml:space="preserve">  • Bendability Index Atlas — Per-species green-vs-dry minimum-radius table; informs species choice before steaming.</t>
  </si>
  <si>
    <t>WOLFRAM EXPLORATIONS — SHAKUHACHI</t>
  </si>
  <si>
    <t xml:space="preserve">  • Meri/Kari Pitch Map — Empirical model of chin-tilt angle → cents shift; calibrate to player's embouchure; tablet trainer.</t>
  </si>
  <si>
    <t xml:space="preserve">  • Bamboo Bore Variability (Webster Horn) — Real-world madake r(z) profiles vs idealized cylinder; explain why each bamboo blank is unique.</t>
  </si>
  <si>
    <t xml:space="preserve">  • Urushi Layer Pitch-Stabilization — Predict cents shift per pair of urushi coats; tracks empirical 5–10 cents/coat rule.</t>
  </si>
  <si>
    <t xml:space="preserve">  • Honkyoku Phrase Synth — Synthesize traditional komusō phrases (Mukaiji, Koku, Kyorei) with breath-noise + meri/kari modulation.</t>
  </si>
  <si>
    <t xml:space="preserve">  • Cultural Atlas: Edo-Period Komusō Routes — GeoGraphics historical pilgrimage circuits; TimelinePlot Tang xiao import → Fuke ban → modern revival.</t>
  </si>
  <si>
    <t>WOLFRAM EXPLORATIONS — DUDUK FAMILY</t>
  </si>
  <si>
    <t xml:space="preserve">  • Reed-Bore Coupling Stability Map — Reed pitch vs bore pitch ratio; map stable / unstable / sharp regions; predict bridle adjustment effect.</t>
  </si>
  <si>
    <t xml:space="preserve">  • Apricot Wood Acoustic Properties — E and ρ measurements; compare to walnut/mulberry; predict timbre shift at constant geometry.</t>
  </si>
  <si>
    <t xml:space="preserve">  • Vibrato + Krunk Synthesis — Long-tone synthesis with characteristic Armenian wide vibrato; AudioGenerator + tremolo + envelope shaping.</t>
  </si>
  <si>
    <t xml:space="preserve">  • Cultural Atlas: Caucasus Reed Trinity — GeoGraphics Armenia/Iran/Turkey for duduk/balaban/mey; phylogeny tree from common Sassanid root.</t>
  </si>
  <si>
    <t xml:space="preserve">  • Reed Aging Timeseries — Track reed pitch + responsiveness over months of play; recommend replacement schedule.</t>
  </si>
  <si>
    <t>WOLFRAM EXPLORATIONS — GHB</t>
  </si>
  <si>
    <t xml:space="preserve">  • Drone + Chanter Interaction Synth — Bass A2 + tenor A3 + chanter melody in just intonation; show beating against ET; perceptual demo of why JI sounds 'right'.</t>
  </si>
  <si>
    <t xml:space="preserve">  • Reed-Pressure Stability (NDSolve) — Bag pressure ↔ reed-aperture coupled ODE; find stable-oscillation pressure window per reed.</t>
  </si>
  <si>
    <t xml:space="preserve">  • Just Intonation vs ET Calculator — Manipulate slider through cents offsets; audible beating between Pythagorean fifths and ET fifths on chanter notes.</t>
  </si>
  <si>
    <t xml:space="preserve">  • Conical Bore Hole-Position Solver — Transfer-matrix method on chanter conical bore; predict tone-hole positions from target JI scale.</t>
  </si>
  <si>
    <t xml:space="preserve">  • Pibroch Phrase Generator — Anthropic API → traditional ceòl mòr (great music) variation phrases for chanter practice.</t>
  </si>
  <si>
    <t xml:space="preserve">  • Cultural Atlas: European Bagpipe Diversity — GeoGraphics map of pipe variants (uilleann, gaita, zampogna, tulum, cimpoi, volynka); audio samples per region.</t>
  </si>
  <si>
    <t>WOLFRAM EXPLORATIONS — SEGMENTED ASHIKO</t>
  </si>
  <si>
    <t xml:space="preserve">  • Ring Stack Calculator (Manipulate) — Sliders for segments/ring + top/bottom Ø + height → 3D ring stack with diamond pattern preview.</t>
  </si>
  <si>
    <t xml:space="preserve">  • Stave Blank Yield Optimizer — 2D nesting on 4×8 plywood for 464-piece ring stock; minimize offcut waste.</t>
  </si>
  <si>
    <t xml:space="preserve">  • Goatskin Drape Simulation (FEM) — Stretched circular membrane over conical body; predict tension distribution + mode frequencies.</t>
  </si>
  <si>
    <t xml:space="preserve">  • Diamond-Pattern Generator — Color matrix permutation: input species set → preview pattern → export to layup spreadsheet.</t>
  </si>
  <si>
    <t xml:space="preserve">  • Bit-Lifetime Calculator — Track inches of rip/miter cuts per bit; project carbide replacement cost over the 464-piece build.</t>
  </si>
  <si>
    <t>WOLFRAM EXPLORATIONS — IRISH FLUTE</t>
  </si>
  <si>
    <t xml:space="preserve">  • Bore Tone-Color Synthesizer — Impedance-driven harmonic series with wall-reflection coefficients per wood; compare ebony vs blackwood vs cocus vs box.</t>
  </si>
  <si>
    <t xml:space="preserve">  • Cylindrical-vs-Conical Bore Comparison — Pratten (cylindrical head) vs Rudall-Carte (conical head); predict timbre difference at same fundamental.</t>
  </si>
  <si>
    <t xml:space="preserve">  • Embouchure-Hole Sensitivity — Sweep undercutting angle + hole area; quantify dynamic range + breath-pressure response.</t>
  </si>
  <si>
    <t xml:space="preserve">  • Session-Tuning Atlas (D vs Eb) — Multi-key library; show why most session players use D and why some Cape Breton circles prefer C.</t>
  </si>
  <si>
    <t>WOLFRAM EXPLORATIONS — FUJARA</t>
  </si>
  <si>
    <t xml:space="preserve">  • Overblown Harmonic Series Synthesizer — 3-hole + overtones; predict accessible scale degrees from f, 2f, 3f, 4f, 5f, 6f, 7f overblowing pattern.</t>
  </si>
  <si>
    <t xml:space="preserve">  • Blow-Pipe Acoustic Coupling — Side air-channel acts as a Helmholtz pre-filter; predict starting transient + steady-state pitch.</t>
  </si>
  <si>
    <t xml:space="preserve">  • Slovak Pastoral Phrase Generator — Traditional fujara melodies (rusałki/zbojnícke songs) in pentatonic; AudioGenerator.</t>
  </si>
  <si>
    <t xml:space="preserve">  • Bass Bore Resonance vs Bend Strength — D2 bore is structurally large; FEM on wood-shell stress under bending — informs minimum wall thickness.</t>
  </si>
  <si>
    <t>WOLFRAM EXPLORATIONS — XIAO FAMILY</t>
  </si>
  <si>
    <t xml:space="preserve">  • Bore Variant Compare (bei/nan/qin) — 3 bore profiles → impedance comparison; predict why qin xiao is preferred for solo guqin accompaniment.</t>
  </si>
  <si>
    <t xml:space="preserve">  • 8-Hole Chromatic Fingering Atlas — All 12 chromatic notes from 8 holes; auto-generate cross-fingering chart with cents-error per fingering.</t>
  </si>
  <si>
    <t xml:space="preserve">  • Cultural Atlas: Tang→Edo Diffusion — GeoGraphics China→Japan arc; TimelinePlot xiao→shakuhachi divergence.</t>
  </si>
  <si>
    <t xml:space="preserve">  • End-Blown Embouchure Sensitivity — Notch geometry (V vs U) effect on attack + dynamic range; CFD-light approximation.</t>
  </si>
  <si>
    <t>WOLFRAM EXPLORATIONS — KENA / KENACHO</t>
  </si>
  <si>
    <t xml:space="preserve">  • Andean Pentatonic Harmonization — Quena diatonic → harmonize traditional huayno melodies; AudioGenerator with 3-part close harmony.</t>
  </si>
  <si>
    <t xml:space="preserve">  • Notched Embouchure Tone Color — V-notch vs U-notch CFD-light approximation; predict breath response.</t>
  </si>
  <si>
    <t xml:space="preserve">  • Quena vs Quenacho Range Atlas — Side-by-side range chart; identify keys where the same fingering produces both instruments' notes.</t>
  </si>
  <si>
    <t xml:space="preserve">  • Cultural Map: Andean Pre-Columbian Wind Tradition — GeoGraphics Bolivia/Peru/Ecuador; bone vs cane vs ceramic kena variants.</t>
  </si>
  <si>
    <t>WOLFRAM EXPLORATIONS — MOSEÑO</t>
  </si>
  <si>
    <t xml:space="preserve">  • Side Blow-Pipe Helmholtz Pre-Filter — Acoustic coupling between blow tube and main bore; predict effective length correction.</t>
  </si>
  <si>
    <t xml:space="preserve">  • 4-Tuning-Hole Compensator — Tuning holes shift pitch globally without changing fingering; sweep area→cents shift.</t>
  </si>
  <si>
    <t xml:space="preserve">  • Aymara Festival Phrase Generator — Traditional Carnaval / Anata melodies; pentatonic + occasional chromatic; AudioGenerator + ensemble texture.</t>
  </si>
  <si>
    <t xml:space="preserve">  • Big-Bass-Pipe Manufacturing Constraints — FEM on long thin-walled wood tube; predict bending modes + minimum wall thickness.</t>
  </si>
  <si>
    <t>WOLFRAM EXPLORATIONS — PINKULLO + TARKA</t>
  </si>
  <si>
    <t xml:space="preserve">  • Square-Exterior CNC Toolpath — Tarka exterior is square but bore is round — toolpath strategy + holding fixture design.</t>
  </si>
  <si>
    <t xml:space="preserve">  • Duct vs End-Blown Comparison — Same bore length, fipple vs notched edge → predict response time + breath-pressure window.</t>
  </si>
  <si>
    <t xml:space="preserve">  • Pinkullo Festival Synthesis — Traditional Aymara highland melodies; characteristically rough/breathy timbre — synthesize with noise component.</t>
  </si>
  <si>
    <t xml:space="preserve">  • Wood Selection Atlas (Andean) — Native species (queñua, kiswara, alder) E and ρ; predict which give traditional vs modern timbre.</t>
  </si>
  <si>
    <t>WOLFRAM EXPLORATIONS — SIKU / ZAMPOÑA</t>
  </si>
  <si>
    <t xml:space="preserve">  • Arka+Ira Interlocking Synth — Two-player hocketing pattern; AudioGenerator simulating 2 players splitting the diatonic across pipes.</t>
  </si>
  <si>
    <t xml:space="preserve">  • Closed-Pipe Length Optimizer — L = c/(4f) − 0.82·d; sweep bore Ø to find sweet-spot for breath response across the 13 pipes.</t>
  </si>
  <si>
    <t xml:space="preserve">  • Cultural Atlas: Pan-Andean Siku Traditions — GeoGraphics Bolivia/Peru altiplano; TimelinePlot from pre-Columbian to modern conjunto.</t>
  </si>
  <si>
    <t xml:space="preserve">  • Cane Selection (Cañahueca) — Density vs internal-node spacing; predict yield from a given cane harvest.</t>
  </si>
  <si>
    <t>WOLFRAM EXPLORATIONS — XYLOPHONE</t>
  </si>
  <si>
    <t>Roadmap-inspired notebook ideas mapped to this instrument.</t>
  </si>
  <si>
    <t>Sound synthesis</t>
  </si>
  <si>
    <t>→ The Complete Tongue Drum / Xylophone Spectrum (roadmap: Publication)</t>
  </si>
  <si>
    <t>AudioGenerator: synthesize bars C5–C8 with hard-mallet attack + free-free overtone series (1, 2.76, 5.40, 8.93). Compare wood vs metal vs plastic: rosewood, padauk, aluminum, fiberglass — same length, hear K_material in real time.</t>
  </si>
  <si>
    <t>ListLinePlot energy decay envelopes for each material — bright + short (steel) vs warm + long (rosewood).</t>
  </si>
  <si>
    <t>Computational physics</t>
  </si>
  <si>
    <t>→ Cantilever / Free-Free Mode Shapes (roadmap: NDSolve)</t>
  </si>
  <si>
    <t>NDEigensystem on Euler-Bernoulli beam with free-free BCs; animate first 5 modes. Show why xylophone overtones are inharmonic (2.76·f1, 5.40·f1, 8.93·f1) and contrast with marimba's 4·f1 arch tuning.</t>
  </si>
  <si>
    <t>Wood-grain rotation effect: rotate the bar's E_parallel direction by θ = 0–90° → plot f vs θ. Quantify how much detuning a misaligned grain blank introduces.</t>
  </si>
  <si>
    <t>Engineering &amp; tolerance</t>
  </si>
  <si>
    <t>→ Tolerance Stack-Up + Sensitivity Ranking (roadmap: Engineering)</t>
  </si>
  <si>
    <t>Monte Carlo: NormalDistribution[L,σ_L] + NormalDistribution[t,σ_t] → frequency error histogram. Find which dim (L vs t vs ρ) drives most variance — ∂f/∂L vs ∂f/∂t ranking.</t>
  </si>
  <si>
    <t>Material Pareto: NMinimize over {min mass, max Q, hit ±5 cents}; compare rosewood vs padauk vs synthetic phenolic.</t>
  </si>
  <si>
    <t>Manufacturing</t>
  </si>
  <si>
    <t>→ G-Code Toolpath Animator + Stave Yield Optimizer (roadmap: Manufacturing)</t>
  </si>
  <si>
    <t>Parse the bar-cutting .nc file; animate bit motion in 3D; flag rapid-into-stock errors before the cut.</t>
  </si>
  <si>
    <t>2D nesting on 4x8 hardwood blank: arrange 44 bars (lengths 6"–16") to minimize offcut. RegionNearest + simulated annealing.</t>
  </si>
  <si>
    <t>WOLFRAM EXPLORATIONS — TONGUE DRUM</t>
  </si>
  <si>
    <t>Interactive design</t>
  </si>
  <si>
    <t>→ Tongue Length Explorer (roadmap: Manipulate, filed as issue #36)</t>
  </si>
  <si>
    <t>Manipulate sliders for thickness + species (9 wood K constants from sheet) → live-recompute all 8 tongue lengths and show as table. Hear the chord via AudioGenerator. Solves the "D3 too long" problem visually.</t>
  </si>
  <si>
    <t>Pentatonic Scale Playground (roadmap: Interactive). Tablet-friendly clickable note grid; tap = pluck synth. Use as art-fair demo.</t>
  </si>
  <si>
    <t>→ Cantilever Mode Shapes (roadmap: NDSolve)</t>
  </si>
  <si>
    <t>NDEigensystem cantilever + animate modes 1–5. Show why mode 2 is at 6.27×f1 (not 2x) — cantilever modes are highly inharmonic, why tongue drums sound 'thudded-bell' rather than 'tonal'.</t>
  </si>
  <si>
    <t>Coupled tongue-cavity model: ~20% Helmholtz coupling rule derived from first principles via 2-DOF coupled oscillator.</t>
  </si>
  <si>
    <t>Sound synthesis &amp; timbre</t>
  </si>
  <si>
    <t>→ Cantilever Timbre Comparison + Wood→Steel→Ceramic (roadmap: Publication, issue #35)</t>
  </si>
  <si>
    <t>Synthesize same tongue (e.g. A4) in 3 materials with measured K + Q values. Spectrogram side-by-side. Cross-link to Steel Tongue Drum and Ceramic Tongue Drum sheets.</t>
  </si>
  <si>
    <t>DOE protocol live: vary t, L, w on 3-bar prototype → NonlinearModelFit → back out actual K vs textbook K.</t>
  </si>
  <si>
    <t>Engineering tolerance</t>
  </si>
  <si>
    <t>Tolerance Stack-Up: kerf width tolerance on slot cut by 1/8" upcut spiral → effective L variance → cents error per tongue. Convince yourself when finer bit is worth the slower cut.</t>
  </si>
  <si>
    <t>WOLFRAM EXPLORATIONS — RESONANT BOX</t>
  </si>
  <si>
    <t>Capstone instrument: cantilever tongues + Helmholtz chambers — perfect roadmap testbed.</t>
  </si>
  <si>
    <t>Coupled-mode physics</t>
  </si>
  <si>
    <t>→ Helmholtz + Tongue Coupling (roadmap: Computational Physics)</t>
  </si>
  <si>
    <t>Two-mass coupled-oscillator: tongue (cantilever, f_t) + Helmholtz cavity (f_H). Eigenvalues of 2x2 system give two split modes f−/f+. Sweep f_H/f_t from 0.5 to 2 — derive your ±20% coupling rule from FIRST PRINCIPLES.</t>
  </si>
  <si>
    <t>Animate the in-phase / out-of-phase mode shapes; show energy transfer between tongue + air.</t>
  </si>
  <si>
    <t>Interactive design tool</t>
  </si>
  <si>
    <t>→ Helmholtz Resonance Tuner (roadmap: Manipulate)</t>
  </si>
  <si>
    <t>Manipulate: chamber Ø, depth, slit width, tongue width, soundboard thickness → live f_H vs f_t with green/red coupling-window indicator. Decision support before you CNC the pockets.</t>
  </si>
  <si>
    <t>Synthesize the 5-instrument family with damped oscillator + cavity radiation transfer function. Hear how coupling makes uncoupled tongues sound brittle.</t>
  </si>
  <si>
    <t>→ G-Code Animator (roadmap: Manufacturing)</t>
  </si>
  <si>
    <t>Animate the soundboard slit + chamber pocket toolpaths in 3D. Catch any tab-orientation errors before run time.</t>
  </si>
  <si>
    <t>Validation</t>
  </si>
  <si>
    <t>→ Record vs Predict Overlay (roadmap: Real-World Comparison)</t>
  </si>
  <si>
    <t>Strike each tongue → AudioRecord → Periodogram → overlay predicted f_t and f_H. Check whether the empirical ±20% rule holds for your specific build.</t>
  </si>
  <si>
    <t>WOLFRAM EXPLORATIONS — ELECTRIC GUITAR BODIES</t>
  </si>
  <si>
    <t>Manufacturing engineering</t>
  </si>
  <si>
    <t>→ G-Code Toolpath Animator + Cutting-Force Calc (roadmap: Manufacturing)</t>
  </si>
  <si>
    <t>Parse pickup-cavity / control-cavity .nc → 3D animate ShopBot moves; color-code feed rate; flag plunge errors.</t>
  </si>
  <si>
    <t>Cutting force: material + bit + DOC + feed → deflection prediction. Estimate when 1/4" upcut needs to be replaced with 1/2" or split into roughing+finishing passes.</t>
  </si>
  <si>
    <t>CAD bridge</t>
  </si>
  <si>
    <t>→ Parametric Wolfram → OpenSCAD/STL (roadmap: CAD bridge)</t>
  </si>
  <si>
    <t>Parameterize Strat / Les Paul / Jazz Bass body outlines as BSplineCurve. Manipulate body width, waist, horn length. Export[ ,"DXF"|"SVG"|"STL"] for ShopBot or laser-cut templates.</t>
  </si>
  <si>
    <t>Boolean preview: outer body outline minus pickup/control pockets → see the final shape before cutting wood.</t>
  </si>
  <si>
    <t>Manufacturing optimization</t>
  </si>
  <si>
    <t>→ Bit Lifetime + 2D Nesting (roadmap: Manufacturing)</t>
  </si>
  <si>
    <t>Track inches-removed per bit across builds; project replacement cost per body.</t>
  </si>
  <si>
    <t>2D nest: 2 body blanks + headstock pieces on a 4x8 sheet of 1.75" mahogany; minimize offcut.</t>
  </si>
  <si>
    <t>WOLFRAM EXPLORATIONS — ACOUSTIC VIOLIN</t>
  </si>
  <si>
    <t>Wave physics deep dives</t>
  </si>
  <si>
    <t>→ Bessel-mode + Plate Mode Visualizer (roadmap: Wave Physics)</t>
  </si>
  <si>
    <t>Top + back plate eigenmodes via NDEigensystem on a violin-shaped Region. Animate (1,1) + (2,1) Chladni patterns — the modes Strad luthiers tune by ear.</t>
  </si>
  <si>
    <t>F-hole effect: subtract f-hole regions, recompute modes; show frequency drop and coupling change.</t>
  </si>
  <si>
    <t>→ Hall Impulse Response Convolution (roadmap: Real-World Comparison)</t>
  </si>
  <si>
    <t>Synthesize a bowed open-A (440 Hz) with realistic harmonic series; ListConvolve with concert-hall, cathedral, small-room IRs. Hear the same violin in 3 spaces.</t>
  </si>
  <si>
    <t>Material science</t>
  </si>
  <si>
    <t>→ Material Science Scatter Plot (roadmap: Publication, issue #37)</t>
  </si>
  <si>
    <t>17 tonewoods scatter on E vs ρ axes, sized by K, colored by family. Identify the 'sweet spot' for top plates (high E/ρ) vs back plates (high ρ, dimensional stability).</t>
  </si>
  <si>
    <t>Parametric body outline + arching profile → STL export for CNC top/back rough-out. Symmetry-driven: model half, mirror.</t>
  </si>
  <si>
    <t>WOLFRAM EXPLORATIONS — ELECTRIC VIOLIN</t>
  </si>
  <si>
    <t>→ Hall IR Convolution + Synthesis (roadmap)</t>
  </si>
  <si>
    <t>Piezo signal model: bridge-force → voltage transfer function. Compare flat piezo response vs acoustic-violin formant simulation. EQ to 'emulate acoustic'.</t>
  </si>
  <si>
    <t>CAD / parametric design</t>
  </si>
  <si>
    <t>Skeletal body shape parameterized as BSplineCurve. Manipulate proportions; Export["violin.stl"] for 3D-print or CNC-route master.</t>
  </si>
  <si>
    <t>Engineering</t>
  </si>
  <si>
    <t>Tolerance: scale-length variance → intonation error; how much warping in the neck-body joint pulls the bridge sharp or flat?</t>
  </si>
  <si>
    <t>WOLFRAM EXPLORATIONS — UKULELE</t>
  </si>
  <si>
    <t>→ String Spectrum (roadmap: Sound Synthesis)</t>
  </si>
  <si>
    <t>Mersenne-Taylor 4-string synth with re-entrant g' tuning; pluck envelope via exponential decay; compare nylon vs fluorocarbon timbre.</t>
  </si>
  <si>
    <t>Hall IR convolution: hear the same uke in living room vs concert hall.</t>
  </si>
  <si>
    <t>Tuning systems</t>
  </si>
  <si>
    <t>→ Just Intonation vs Equal Temperament (roadmap: Tuning)</t>
  </si>
  <si>
    <t>Sweep beating between ET 5th and Pythagorean 5th on a uke chord; show why some chords sound 'cleaner' in JI.</t>
  </si>
  <si>
    <t>Sensitivity ranking: ∂f/∂L vs ∂f/∂T_string vs ∂f/∂ρ; predict tuning drift from temperature/humidity. Useful for outdoor art-fair playing.</t>
  </si>
  <si>
    <t>WOLFRAM EXPLORATIONS — WHAMOLA BASS</t>
  </si>
  <si>
    <t>Interactive physics</t>
  </si>
  <si>
    <t>→ Manipulate lever-angle pitch sweep (roadmap: Manipulate)</t>
  </si>
  <si>
    <t>Slide lever angle 0→max → plot f(θ) live; hear pitch glide via AudioGenerator with continuous frequency modulation.</t>
  </si>
  <si>
    <t>String physics</t>
  </si>
  <si>
    <t>Bass-string spectrum with stiffness inharmonicity (B = π²EI/(TL²)) at low T (slack lever) vs high T (taut lever); show how harmonics stretch differently.</t>
  </si>
  <si>
    <t>Lever-arm geometry optimization: NMinimize for max pitch range given fixed string length + breakable tension limit.</t>
  </si>
  <si>
    <t>WOLFRAM EXPLORATIONS — NGONI</t>
  </si>
  <si>
    <t>→ String Spectrum + Pentatonic Playground (roadmap)</t>
  </si>
  <si>
    <t>Synthesize Donso 6 / Kamele 10 / Kamele 14 plucks with different gauges; compare bowl-radiated vs piezo-direct timbre.</t>
  </si>
  <si>
    <t>Pentatonic D-F-G-A-C clickable layout for art-fair tablet demo.</t>
  </si>
  <si>
    <t>Cultural context</t>
  </si>
  <si>
    <t>→ World Instrument Atlas + Family Phylogeny (roadmap: Cultural)</t>
  </si>
  <si>
    <t>GeoGraphics Mali → bowl-lute family map; phylogeny tree showing connections to akonting → banjo; click to play sample.</t>
  </si>
  <si>
    <t>Why does ngoni sound like ngoni?: skin-membrane Bessel modes + nylon string spectrum overlay.</t>
  </si>
  <si>
    <t>Stave Blank Yield: nest segmented bowl pieces on stock; project material yield.</t>
  </si>
  <si>
    <t>WOLFRAM EXPLORATIONS — DUNTONG</t>
  </si>
  <si>
    <t>Original design — prime testbed for the sensitivity/tolerance and DOE notebooks.</t>
  </si>
  <si>
    <t>Engineering exploration</t>
  </si>
  <si>
    <t>→ Tolerance Stack-Up + Sensitivity (roadmap)</t>
  </si>
  <si>
    <t>Monte Carlo: tongue length tolerance ±σ × thickness tolerance → cents error histogram. Inform CNC tolerance spec.</t>
  </si>
  <si>
    <t>Sensitivity: ∂f/∂L, ∂f/∂t for each of 8 tongues; rank which are most sensitive to manufacturing variance.</t>
  </si>
  <si>
    <t>Coupled physics</t>
  </si>
  <si>
    <t>→ Helmholtz + Tongue Coupling (roadmap)</t>
  </si>
  <si>
    <t>Compare 4 end configurations (open-open, open-closed, closed-closed, vented) — which gives strongest tongue-cavity coupling? Eigenvalue split per config.</t>
  </si>
  <si>
    <t>Design optimization</t>
  </si>
  <si>
    <t>→ NMinimize Optimal Shell Size (roadmap)</t>
  </si>
  <si>
    <t>Solve: given target pentatonic scale + species K, find min cylinder length where ALL 8 tongues fit with proper spacing. Inform stock selection.</t>
  </si>
  <si>
    <t>WOLFRAM EXPLORATIONS — SEGMENTED CONGA</t>
  </si>
  <si>
    <t>→ G-Code Animator + Stave Yield Optimizer (roadmap)</t>
  </si>
  <si>
    <t>Animate the 9-degree miter sled cut sequence for 680 pieces; flag any feed errors.</t>
  </si>
  <si>
    <t>Yield: nest 680 segments on 4x8 boards across 3 species; minimize offcut waste — critical at this segment count.</t>
  </si>
  <si>
    <t>Drum acoustics</t>
  </si>
  <si>
    <t>→ Bessel-Mode Drumhead + Goatskin Drape (roadmap: Wave Physics)</t>
  </si>
  <si>
    <t>Animate (m,n) skin modes on the head; FEM drape simulation showing tension distribution from rope-and-ring tuning.</t>
  </si>
  <si>
    <t>Cultural</t>
  </si>
  <si>
    <t>→ World Atlas + Phylogeny (roadmap: Cultural)</t>
  </si>
  <si>
    <t>Map Bantu → Cuba diffusion; tree of African + diasporic drum families.</t>
  </si>
  <si>
    <t>Synthesize open tone vs slap vs bass strokes with different mode-amplitude weights; compare to recorded conga samples.</t>
  </si>
  <si>
    <t>WOLFRAM EXPLORATIONS — WOOD SHELL TONGUE DRUM</t>
  </si>
  <si>
    <t>→ Helmholtz + Tongue Coupling + Shell Modes (roadmap)</t>
  </si>
  <si>
    <t>3-DOF coupled oscillator: steel tongue + wood shell + air cavity. Eigenvalue split shows how the wood shell adds a third mode that boosts sustain.</t>
  </si>
  <si>
    <t>Compare to all-steel tongue drum (Steel Tongue Drum sheet) — same scale, different shell material; which is more sustained?</t>
  </si>
  <si>
    <t>→ Optimal Shell Size Finder (roadmap: NMinimize)</t>
  </si>
  <si>
    <t>Given pentatonic scale + steel plate K, find min shell diameter that fits all tongues + leaves room for bolt pattern.</t>
  </si>
  <si>
    <t>AudioGenerator: synthesize wood-shelled vs steel-shelled vs ceramic-shelled tongue drums for the same scale; spectrogram comparison.</t>
  </si>
  <si>
    <t>WOLFRAM EXPLORATIONS — STEEL TONGUE DRUM</t>
  </si>
  <si>
    <t>→ Cantilever Timbre Comparison (roadmap: filed as #35)</t>
  </si>
  <si>
    <t>Synthesize same tongue length in steel vs wood vs ceramic; high K_steel → short bright tongue; high Q → long sustain.</t>
  </si>
  <si>
    <t>Pentatonic Playground tablet demo — click/tap notes.</t>
  </si>
  <si>
    <t>→ Plasma/Laser Toolpath Animator (roadmap: G-Code Animator)</t>
  </si>
  <si>
    <t>Animate the cut sequence on a 20-lb propane-tank blank; verify tongue boundaries before running plasma. Avoid heat warp by sequencing inner cuts first.</t>
  </si>
  <si>
    <t>Helmholtz tuning</t>
  </si>
  <si>
    <t>→ Helmholtz Resonance Tuner (roadmap)</t>
  </si>
  <si>
    <t>Manipulate sound-hole area + tank volume → cavity resonance vs tongue range; tune cavity to harmonize with the lowest tongue (not coincide — detune slightly for richer sound).</t>
  </si>
  <si>
    <t>WOLFRAM EXPLORATIONS — TUBULAR BELLS</t>
  </si>
  <si>
    <t>Mode physics</t>
  </si>
  <si>
    <t>→ Cantilever / Free-Free Mode Shapes (roadmap)</t>
  </si>
  <si>
    <t>NDEigensystem on hollow free-free tube; show modes at f, 2.76f, 5.40f. Demonstrate the strike-note illusion: 2nd partial dominates perception, listener hears the octave below the actual fundamental.</t>
  </si>
  <si>
    <t>Engineering optimization</t>
  </si>
  <si>
    <t>→ Tube Length Optimizer (roadmap: NMinimize)</t>
  </si>
  <si>
    <t>Find OD/wall combination minimizing total tube length (and weight) for a chromatic C5–F6 set in brass. Trade-off: thinner wall = lighter but more inharmonic; thicker wall = heavier but cleaner spectrum.</t>
  </si>
  <si>
    <t>Synthesize struck bells with measured 2.76 + 5.40 partials; convolve with cathedral IR for full effect.</t>
  </si>
  <si>
    <t>WOLFRAM EXPLORATIONS — GLOCKENSPIEL</t>
  </si>
  <si>
    <t>Material comparison</t>
  </si>
  <si>
    <t>→ Material Science Scatter Plot (roadmap: filed as #37)</t>
  </si>
  <si>
    <t>Steel vs aluminum vs brass vs bronze on E vs ρ axes; sized by K. Identify the bar material that gives best brightness-to-weight ratio for a marching glockenspiel.</t>
  </si>
  <si>
    <t>→ Tolerance Stack-Up (roadmap)</t>
  </si>
  <si>
    <t>CNC-cut bar length tolerance ±σ → cents error per note. With ~10% K_metal variability, ±5-cents requires what mfg tolerance?</t>
  </si>
  <si>
    <t>Wood Grain effect doesn't apply to metal — swap for grain structure / heat-treat consistency analysis.</t>
  </si>
  <si>
    <t>Synthesize chromatic C5–C7 with hard-mallet attack; pentatonic art-fair playground variant.</t>
  </si>
  <si>
    <t>WOLFRAM EXPLORATIONS — CAJÓN</t>
  </si>
  <si>
    <t>Plate physics</t>
  </si>
  <si>
    <t>NDEigensystem on clamped tapa plate; animate (1,1)→(2,1)→(1,2)→(2,2). Show why center strike excites mode (1,1) (bass) and edge strike excites high modes (slap).</t>
  </si>
  <si>
    <t>Snare-wire coupling: model wires as multiple coupled oscillators clamped against plate; explain the 'sizzle' onset behavior.</t>
  </si>
  <si>
    <t>Helmholtz</t>
  </si>
  <si>
    <t>Manipulate sound-hole area + box volume → cavity bass resonance. Tune cavity to a useful note (E2 typical for flamenco).</t>
  </si>
  <si>
    <t>Bass + slap + tip strokes synthesized via mode-weighted impulse responses; convolve with 'small room' IR for realism.</t>
  </si>
  <si>
    <t>Tapa thickness tolerance + grain orientation → sensitivity analysis on bass tone consistency unit-to-unit.</t>
  </si>
  <si>
    <t>WOLFRAM EXPLORATIONS — OCARINA</t>
  </si>
  <si>
    <t>Helmholtz physics</t>
  </si>
  <si>
    <t>The ocarina IS a Helmholtz resonator — perfect testbed. Manipulate cavity volume + total open-hole area → fundamental f. Show the 'any combination of holes giving same total area = same pitch' phenomenon visually.</t>
  </si>
  <si>
    <t>Cross-fingering visualizer: 12 holes × binary states → 4096 fingerings; group by total area; identify ergonomic alternatives for difficult passages.</t>
  </si>
  <si>
    <t>→ World Instrument Atlas (roadmap)</t>
  </si>
  <si>
    <t>Map Mesoamerica + Italy + East Asia ocarina lineages; click region for audio sample.</t>
  </si>
  <si>
    <t>Phylogeny: xun (China), hun (Korea), Mesoamerican vessel flutes, Donati Italian — family tree.</t>
  </si>
  <si>
    <t>→ Parametric → STL (roadmap)</t>
  </si>
  <si>
    <t>Sweet-potato shape parametric → STL for slip-cast master 3D-print. Account for 12% ceramic shrinkage in the master.</t>
  </si>
  <si>
    <t>WOLFRAM EXPLORATIONS — UDU DRUM FAMILY</t>
  </si>
  <si>
    <t>Coupled Helmholtz</t>
  </si>
  <si>
    <t>→ Helmholtz Tuner + Coupled Oscillator (roadmap)</t>
  </si>
  <si>
    <t>DUAL Helmholtz: top hole + side hole share chamber. 2x2 eigenvalue analysis gives mode split as a function of A_top/A_side. Animate hand covering side-hole → mode collapse → pitch jump.</t>
  </si>
  <si>
    <t>5 variants compared (Utar, Kim Kim, Claytone, Udongo, Water): plot mode-split landscape; predict which variant has biggest 'wet' bend.</t>
  </si>
  <si>
    <t>→ Parametric → STL + Shrinkage Comp (roadmap)</t>
  </si>
  <si>
    <t>Pot shape parametric. Account for 12% slip-cast shrinkage in master STL. Vary pot proportions to hit target tuning.</t>
  </si>
  <si>
    <t>→ World Atlas (roadmap)</t>
  </si>
  <si>
    <t>Map Igboland + diaspora; phylogeny of pot drums (water jar instruments worldwide).</t>
  </si>
  <si>
    <t>WOLFRAM EXPLORATIONS — CERAMIC TONGUE DRUM</t>
  </si>
  <si>
    <t>→ 17-Material Comparison (roadmap: filed as #37, ceramic edition)</t>
  </si>
  <si>
    <t>Scatter all 17 ceramic bodies on E vs ρ; sized by K; identify the porcelain/stoneware sweet spot for tongue brightness vs sustain.</t>
  </si>
  <si>
    <t>Compare ceramic K to cedar/steel for the same tongue length — visualize why ceramic sits between wood and steel in timbre.</t>
  </si>
  <si>
    <t>→ Cantilever Timbre Comparison — ceramic edition (roadmap: #35)</t>
  </si>
  <si>
    <t>Synthesize Cedar / Steel / Ceramic with same tongue length; A/B/C audio for each pair.</t>
  </si>
  <si>
    <t>Inharmonic spectrum: 1, 6.27, 17.55 partials — hear how ceramic Q (low damping) makes the inharmonic ringing more audible than wood.</t>
  </si>
  <si>
    <t>Slip-cast shrinkage comp; bisque vs glaze fire pitch shift; account for both in design dimensions.</t>
  </si>
  <si>
    <t>WOLFRAM EXPLORATIONS — CERAMIC ELECTRIC VIOLIN</t>
  </si>
  <si>
    <t>→ Parametric → STL + Shrinkage (roadmap)</t>
  </si>
  <si>
    <t>Body shape parametric; STL for 3D-print master at 1.12x scale (compensating for 12% ceramic shrinkage).</t>
  </si>
  <si>
    <t>Boolean preview: body minus neck-pocket minus piezo-channel → verify wall thickness at thinnest section meets structural minimum.</t>
  </si>
  <si>
    <t>→ Hall IR Convolution (roadmap)</t>
  </si>
  <si>
    <t>Piezo signal → EQ to emulate acoustic violin formants → convolve with hall IR. Compare wood-body electric vs ceramic-body electric output.</t>
  </si>
  <si>
    <t>Neck-joint stress: ceramic-wood interface FEM; verify glue line + dowel pattern adequate.</t>
  </si>
  <si>
    <t>WOLFRAM EXPLORATIONS — RAINSTICK</t>
  </si>
  <si>
    <t>Stochastic physics</t>
  </si>
  <si>
    <t>→ Granular Flow Simulation (roadmap: Computational Physics)</t>
  </si>
  <si>
    <t>DynamicModule particle simulation: beads cascading through spiral pin grid; predict play duration from {pin density, fill mass, tilt angle}.</t>
  </si>
  <si>
    <t>RandomFunction[PoissonProcess[λ]] for click-stream model; AudioGenerator for synthesized rainstick.</t>
  </si>
  <si>
    <t>Spectrum shaping</t>
  </si>
  <si>
    <t>Tube acts as filter: f_n = n c/(2L) (open-open). Convolve broadband Poisson clicks with tube transfer function; show how length tunes timbre.</t>
  </si>
  <si>
    <t>GeoGraphics Atacama (Chile/Peru); cousin instruments (kuti, palo de lluvia, African shakers) phylogeny.</t>
  </si>
  <si>
    <t>WOLFRAM EXPLORATIONS — CNC FLUTE DIMENSIONS (LEGACY)</t>
  </si>
  <si>
    <t>Roadmap-inspired notebook ideas mapped to this legacy data sheet.</t>
  </si>
  <si>
    <t>Validation against builds</t>
  </si>
  <si>
    <t>→ Build Progression Timelapse + K2 Regression (roadmap: filed as #39)</t>
  </si>
  <si>
    <t>Cross-join with Built sheet: which exploratory keys here actually got built? Which are abandoned? TimelinePlot of build chronology.</t>
  </si>
  <si>
    <t>K2 polynomial regression: fit empirical K2 corrections from this sheet's bore range to match modern best-practice.</t>
  </si>
  <si>
    <t>Honest comparison</t>
  </si>
  <si>
    <t>→ F4 NAF vs Concert Flute (roadmap: filed as #42)</t>
  </si>
  <si>
    <t>If any of these legacy keys overlap with concert flute range, do honest acoustic benchmarking: spectrum + tuning stability + dynamic range.</t>
  </si>
  <si>
    <t>WOLFRAM EXPLORATIONS — LOW TO HIGH RANGE (LEGACY)</t>
  </si>
  <si>
    <t>Roadmap-inspired notebook ideas mapped to this master legacy reference.</t>
  </si>
  <si>
    <t>→ Cultural Tuning Atlas (roadmap)</t>
  </si>
  <si>
    <t>Plot the 32 legacy keys against Pentatonic + Arabic scales; cross-reference to global tuning systems (Andean, Japanese, maqam).</t>
  </si>
  <si>
    <t>Just Intonation overlay: do any legacy hole positions accidentally hit JI ratios? Which keys ring the cleanest by ear?</t>
  </si>
  <si>
    <t>Build cross-reference</t>
  </si>
  <si>
    <t>→ Build Timelapse (roadmap: #39)</t>
  </si>
  <si>
    <t>Histogram of which keys + scales got built most often; what's the popular pocket of the 32-key range?</t>
  </si>
  <si>
    <t>K2 corrections</t>
  </si>
  <si>
    <t>Apply K2 correction by bore to all 32 entries; flag rows with &gt;±5 cents drift from modern model.</t>
  </si>
  <si>
    <t>WOLFRAM EXPLORATIONS — MODE 1&amp;4 PENT. (LEGACY)</t>
  </si>
  <si>
    <t>Roadmap-inspired notebook ideas mapped to this legacy mode comparison.</t>
  </si>
  <si>
    <t>Tuning theory</t>
  </si>
  <si>
    <t>→ Just Intonation vs Equal Temperament (roadmap)</t>
  </si>
  <si>
    <t>Mode 1 (Pentatonic Minor) vs Mode 4: same scale, different tonic. Visualize on a chromatic clock; play synthesized melody in each mode for ear training.</t>
  </si>
  <si>
    <t>Continued-fraction approximations: why Mode 4 'sounds Egyptian' — it lands on Pythagorean ratios that pentatonic doesn't.</t>
  </si>
  <si>
    <t>Audio demo</t>
  </si>
  <si>
    <t>AudioGenerator melodies in both modes for ear training; cross-link to Low to High Range and Built for popular keys.</t>
  </si>
  <si>
    <t>WOLFRAM EXPLORATIONS — CNC GUITAR BODIES (REFERENCE)</t>
  </si>
  <si>
    <t>Roadmap-inspired notebook ideas mapped to this blueprint reference.</t>
  </si>
  <si>
    <t>→ Parametric Wolfram → STL (roadmap)</t>
  </si>
  <si>
    <t>BSplineCurve approximation of Strat / Les Paul / Jazz Bass outlines from blueprint photos. Manipulate body width, waist position, horn length.</t>
  </si>
  <si>
    <t>Export[ ,"DXF"|"SVG"|"STL"] for SolidWorks / Fusion / ShopBot import.</t>
  </si>
  <si>
    <t>→ G-Code Animator + 2D Nest (roadmap)</t>
  </si>
  <si>
    <t>Animate a body-perimeter toolpath given the parametric outline.</t>
  </si>
  <si>
    <t>2D nest 2 body blanks + headstock + neck pieces on 4x8 mahogany sheet.</t>
  </si>
  <si>
    <t>WOLFRAM CLOUD NOTEBOOKS — MASTER ROADMAP INDEX</t>
  </si>
  <si>
    <t>Cross-cutting catalog. Each notebook idea below maps to one or many instrument sheets — those sheets carry the per-instrument implementation notes in their own 'Wolfram Explorations' section.</t>
  </si>
  <si>
    <t>Source: wolfram-notebooks-roadmap.md (uploaded 2026-05-02). Replaces issue #38.</t>
  </si>
  <si>
    <t>§ FILED AS GITHUB ISSUES (priority work)</t>
  </si>
  <si>
    <t>→ #35 Cantilever Timbre Comparison (Cedar/Steel/Ceramic) → Tongue Drum, Steel Tongue Drum, Ceramic Tongue Drum, Wood Shell Tongue Drum, Duntong, Resonant Box</t>
  </si>
  <si>
    <t>→ #36 Tongue Length Explorer Manipulate → Tongue Drum, Steel Tongue Drum, Ceramic Tongue Drum, Wood Shell Tongue Drum, Duntong, Resonant Box</t>
  </si>
  <si>
    <t>→ #37 Material Science Scatter Plot (17-tonewood interactive) → Tongue Drum, Marimba, Xylophone, Glockenspiel, Ceramic Tongue Drum (cross-instrument)</t>
  </si>
  <si>
    <t>→ #39 Build Progression Timelapse (K2 across 153 NAF builds) → CNC Flute Dimensions, Low to High Range, Mode 1&amp;4 Pent., Built</t>
  </si>
  <si>
    <t>→ #40 Humidity-Corrected Tuning (Wrfcoin × physics) → all wind instruments + Floor Harp, Kora, Stave Lute-Oud (string instruments humidity-sensitive)</t>
  </si>
  <si>
    <t>→ #41 G-Code Toolpath Animator → Electric Guitar Bodies, CNC Guitar Bodies, Acoustic Violin, Marimba (arch undercut), Resonant Box</t>
  </si>
  <si>
    <t>→ #42 F4 NAF vs Concert Flute (acoustic benchmark) → CNC Flute Dimensions, Low to High Range, Built</t>
  </si>
  <si>
    <t>§ SOUND SYNTHESIS (AudioGenerator / Sound)</t>
  </si>
  <si>
    <t>→ Flute Bore Tone Color → CNC Flute Dimensions, Irish Flute, Shakuhachi, Tin Whistle, Kena-Kenacho, Xiao Family, Moseño, Andean Duct Flutes, Fujara</t>
  </si>
  <si>
    <t>→ Drone + Chanter Interaction → Great Highland Bagpipe (primary), Didgeridoo (drone-only analog), Fujara (overtone drone)</t>
  </si>
  <si>
    <t>→ Handpan Tone Field 3-partial synthesis → Handpan, Steel Pan (1:2:3 stack), Steel Tongue Drum (2-partial)</t>
  </si>
  <si>
    <t>→ String Spectrum (Mersenne-Taylor harmonics + pluck envelope) → Kora, Floor Harp, Whamola Bass, Ngoni, Stave Lute-Oud, Ukulele, Acoustic Violin, Electric Violin, Ceramic Electric Violin</t>
  </si>
  <si>
    <t>§ INTERACTIVE VISUALIZATIONS (Manipulate / Dynamic)</t>
  </si>
  <si>
    <t>→ Helmholtz Resonance Tuner → Handpan, Udu Drum Family, Cajón, Ocarina, Resonant Box, Wood Shell Tongue Drum, Steel Tongue Drum</t>
  </si>
  <si>
    <t>→ Bore Profile Visualizer (3D) → Great Highland Bagpipe, Irish Flute, Didgeridoo, Shakuhachi, Duduk Family</t>
  </si>
  <si>
    <t>→ Segmented Drum Ring Calculator → Segmented Ashiko, Segmented Conga, Kora (bowl), Ngoni (bowl), Stave Lute-Oud (rib-bowl variant), Wood Shell Tongue Drum, Duntong</t>
  </si>
  <si>
    <t>→ Pentatonic Scale Playground (tablet demo) → Glockenspiel, Handpan, Steel Tongue Drum, Tongue Drum, Marimba, Steel Pan, Duntong, Tubular Bells</t>
  </si>
  <si>
    <t>§ COMPUTATIONAL PHYSICS (NDSolve / FEM)</t>
  </si>
  <si>
    <t>→ Cantilever Mode Shapes (animate first 5 modes) → Tongue Drum, Steel Tongue Drum, Ceramic Tongue Drum, Wood Shell Tongue Drum, Resonant Box, Duntong</t>
  </si>
  <si>
    <t>→ Helmholtz + Tongue Coupling (derives ±20% rule) → Resonant Box, Ceramic Tongue Drum, Wood Shell Tongue Drum, Steel Tongue Drum, Handpan</t>
  </si>
  <si>
    <t>→ Conical Bore Impedance (transfer-matrix) → Great Highland Bagpipe, Irish Flute, Tin Whistle, Didgeridoo (variable bore), Moseño</t>
  </si>
  <si>
    <t>→ Rainstick Granular Flow (DynamicModule particle sim) → Rainstick</t>
  </si>
  <si>
    <t>→ Steel Pan Note Isolation (FEM plate vibration) → Steel Pan, Handpan</t>
  </si>
  <si>
    <t>§ DESIGN OPTIMIZATION (NMinimize / FindRoot)</t>
  </si>
  <si>
    <t>→ Optimal Shell Size Finder ('D3 too long' problem) → Wood Shell Tongue Drum, Steel Tongue Drum, Ceramic Tongue Drum, Tongue Drum, Resonant Box</t>
  </si>
  <si>
    <t>→ K2 Correction Regression (153 builds → polynomial) → CNC Flute Dimensions, Low to High Range, Built, Mode 1&amp;4 Pent.</t>
  </si>
  <si>
    <t>→ String Schedule Optimizer (minimize %breaking variance) → Kora, Floor Harp, Stave Lute-Oud, Ngoni, Ukulele, Acoustic Violin, Electric Violin</t>
  </si>
  <si>
    <t>→ Tube Length Optimizer (Tubular Bells) → Tubular Bells, Glockenspiel (bar version), Marimba/Xylophone resonator tubes</t>
  </si>
  <si>
    <t>§ PUBLICATION / PORTFOLIO (Notebooks as Documents)</t>
  </si>
  <si>
    <t>→ Instrument Physics Atlas (all 6 models) → ALL sheets (cross-cutting)</t>
  </si>
  <si>
    <t>→ Material Science of Tonewoods (interactive 17-material scatter) → Tongue Drum, Marimba, Xylophone, Glockenspiel, Ceramic Tongue Drum</t>
  </si>
  <si>
    <t>→ Tony's NAF Acoustic Model (publication-quality) → Low to High Range, CNC Flute Dimensions, Built (153-build dataset)</t>
  </si>
  <si>
    <t>→ The Complete Tongue Drum (Wood→Steel→Ceramic) → Tongue Drum, Steel Tongue Drum, Ceramic Tongue Drum, Wood Shell Tongue Drum</t>
  </si>
  <si>
    <t>§ TUNING SYSTEMS &amp; MUSIC THEORY (2nd-pass)</t>
  </si>
  <si>
    <t>→ Just Intonation vs Equal Temperament (audible beating) → Great Highland Bagpipe (JI Mixolydian), Tuning Reference, Handpan, Steel Pan</t>
  </si>
  <si>
    <t>→ Continued Fraction Approximations of Intervals → Tuning Reference, Xiao Family (chromatic), Glockenspiel</t>
  </si>
  <si>
    <t>→ Cents-Level Pitch JND adaptive listening test → Tuning Reference, Built, Low to High Range</t>
  </si>
  <si>
    <t>→ Cultural Tuning Atlas (12-TET / Andean / Japanese / Arabic / Bali) → Moseño, Andean Duct Flutes, Siku-Zampoña, Kena-Kenacho (Andean), Shakuhachi, Xiao Family (East Asian), Duduk Family (Arabic/Anatolian)</t>
  </si>
  <si>
    <t>§ WAVE PHYSICS DEEP DIVES (2nd-pass)</t>
  </si>
  <si>
    <t>→ Standing Wave Boundary Condition Animator → ALL wind instruments (open-open vs closed-closed)</t>
  </si>
  <si>
    <t>→ Bessel-Mode Drumhead Visualizer → Segmented Ashiko, Segmented Conga, Kora (head), Ngoni (head), Floor Harp (soundboard plate analog)</t>
  </si>
  <si>
    <t>→ Reynolds Number → Turbulence in Flute Bores → CNC Flute Dimensions, Irish Flute, Shakuhachi, Tin Whistle, Moseño, Andean Duct Flutes</t>
  </si>
  <si>
    <t>→ End-Correction First-Principles Derivation → ALL open-pipe wind sheets + Tuning Reference (master cell)</t>
  </si>
  <si>
    <t>→ Coupled Oscillator Phase Lock (±20% rule) → Resonant Box, Wood Shell Tongue Drum, Ceramic Tongue Drum, Handpan, Marimba (resonator tubes)</t>
  </si>
  <si>
    <t>§ ENGINEERING SENSITIVITY &amp; TOLERANCE (2nd-pass)</t>
  </si>
  <si>
    <t>→ Tolerance Stack-Up Calculator (Monte Carlo on dims → freq) → ALL design sheets; especially CNC sheets (CNC Flute Dimensions, Marimba, Xylophone, Glockenspiel, Tongue Drum, Resonant Box, Electric Guitar Bodies)</t>
  </si>
  <si>
    <t>→ Parameter Sensitivity Ranking (∂f/∂L vs ∂f/∂t vs ∂f/∂ρ) → Tongue Drum (cantilever), Marimba (free-free), Irish Flute (pipe), Kora (string)</t>
  </si>
  <si>
    <t>→ Multi-Objective Pareto Frontier (mass / Q / pitch error) → Marimba, Xylophone, Tongue Drum, Floor Harp</t>
  </si>
  <si>
    <t>→ Wood Grain Orientation Effect (E varies 2-4× with grain) → Tongue Drum, Marimba, Xylophone, Resonant Box, Wood Shell Tongue Drum, all wood-bowl strings</t>
  </si>
  <si>
    <t>§ MANUFACTURING ENGINEERING MATH (2nd-pass)</t>
  </si>
  <si>
    <t>→ Cutting Force &amp; Deflection Calculator (bit + DOC + feed → tolerance) → Electric Guitar Bodies, CNC Guitar Bodies, Acoustic Violin, Marimba (arch), Resonant Box, all Segmented drums</t>
  </si>
  <si>
    <t>→ Stave Blank Yield Optimizer (2D nesting on 4×8 sheets) → Segmented Ashiko (464 pcs), Segmented Conga (680 pcs), Kora bowl, Stave Lute-Oud</t>
  </si>
  <si>
    <t>→ Steam-Bending Kinetics (Arrhenius derivation of '1 hour per inch') → Stave Lute-Oud (primary user), Floor Harp (frame curves), all curved-rib bowls</t>
  </si>
  <si>
    <t>→ Bit Lifetime / Carbide Hours → cost per build → Electric Guitar Bodies, CNC Guitar Bodies, Marimba, all Segmented drums</t>
  </si>
  <si>
    <t>→ 2D Nesting Optimizer (general parts on stock) → Segmented Ashiko, Segmented Conga, Marimba (49 bars from boards), Glockenspiel</t>
  </si>
  <si>
    <t>§ WOLFRAM → CAD/3D BRIDGE (2nd-pass)</t>
  </si>
  <si>
    <t>→ Parametric Wolfram → OpenSCAD/STL (bypass SolidWorks) → ALL CNC sheets (Marimba, Tongue Drum, Resonant Box, all Segmented drums, Electric Guitar Bodies)</t>
  </si>
  <si>
    <t>→ Bore Profile Spline → CAM Toolpath (measured → B-spline → G-code) → Didgeridoo (variable bore), Shakuhachi (irregular bamboo), Great Highland Bagpipe</t>
  </si>
  <si>
    <t>→ Symmetry-Driven CAD (model 1-of-N segments × N rotations) → Segmented Ashiko, Segmented Conga, Kora, Ngoni, Stave Lute-Oud, Steel Pan</t>
  </si>
  <si>
    <t>→ Goatskin Drape Simulation (FEM membrane over body) → Segmented Ashiko, Segmented Conga, Kora, Ngoni, Cajón (front face)</t>
  </si>
  <si>
    <t>→ Cross-Section Sweep Animator → Didgeridoo, Great Highland Bagpipe, Stave Lute-Oud, Ocarina, Udu Drum Family</t>
  </si>
  <si>
    <t>→ Boolean Preview (outer profile − inner sweep = bore) → Didgeridoo, Great Highland Bagpipe, Stave Lute-Oud, Electric Guitar Bodies (cavities)</t>
  </si>
  <si>
    <t>§ CULTURAL &amp; EDUCATIONAL (2nd-pass)</t>
  </si>
  <si>
    <t>→ World Instrument Atlas (GeoGraphics + click → audio + data) → Index sheet (master); per-sheet origin maps already added</t>
  </si>
  <si>
    <t>→ Instrument Family Phylogeny tree → Index, Kora (harp lineage), Stave Lute-Oud (lute lineage), Floor Harp (harp), Great Highland Bagpipe (bagpipe family)</t>
  </si>
  <si>
    <t>→ 'Why does X sound like X?' modal-structure explainer series → Tubular Bells, Handpan, Marimba, Cajón (each instrument's signature timbre)</t>
  </si>
  <si>
    <t>§ LIVE DATA BRIDGE — Wrfcoin × Instrument-Maker (2nd-pass)</t>
  </si>
  <si>
    <t>→ Temperature Pitch-Drift Compensator (live temp → warmup time) → ALL wind sheets (c ∝ √T)</t>
  </si>
  <si>
    <t>→ Sonification of Weather Streams (Wrfcoin → parametric synth) → Resonant Box, Handpan, Steel Tongue Drum (ambient instruments)</t>
  </si>
  <si>
    <t>→ Climate-Aware Tuning Recommendation ('playing in Phoenix') → Stave Lute-Oud, Floor Harp, Kora (humidity-sensitive); all wood-bodied wind</t>
  </si>
  <si>
    <t>§ AI × INSTRUMENT-MAKER (2nd-pass — dogfooding)</t>
  </si>
  <si>
    <t>→ Test Melody Generator (Anthropic API → scale + range → phrases) → Tuning Reference, all pentatonic instruments</t>
  </si>
  <si>
    <t>→ The instrument-maker SKILL.md, Live (notebook demos skill in real time) → Index (master demo)</t>
  </si>
  <si>
    <t>→ Build-Photo Auto-Captioner (vision → dims, species, captions) → Built sheet (153 builds)</t>
  </si>
  <si>
    <t>BLOCKED: Wolfram-notebook home decision (issue #34) — dedicated repo vs notebooks/ folder vs WSS-2019.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</si>
</sst>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0.0"/>
    <numFmt numFmtId="165" formatCode="0.000"/>
    <numFmt numFmtId="166" formatCode="#,##0.000"/>
    <numFmt numFmtId="167" formatCode="0.0000"/>
    <numFmt numFmtId="168" formatCode="&quot;$&quot;#,##0.00"/>
    <numFmt numFmtId="169" formatCode="m/d"/>
    <numFmt numFmtId="170" formatCode="m/d/yy"/>
    <numFmt numFmtId="171" formatCode="#\ ##/##"/>
    <numFmt numFmtId="172" formatCode="#\ ###/###"/>
    <numFmt numFmtId="173" formatCode="0.000000"/>
    <numFmt numFmtId="174" formatCode="\+0.000;\-0.000;0.000"/>
    <numFmt numFmtId="175" formatCode="\+0.0%;\-0.0%;0.0%"/>
    <numFmt numFmtId="176" formatCode="\+0.0;\-0.0;&quot;0.0&quot;"/>
    <numFmt numFmtId="177" formatCode="\+0.00;\-0.00;&quot;0.00&quot;"/>
    <numFmt numFmtId="178" formatCode="0.00000"/>
    <numFmt numFmtId="179" formatCode="0.0%"/>
    <numFmt numFmtId="180" formatCode="#,##0.0"/>
    <numFmt numFmtId="181" formatCode="0.0&quot;%&quot;"/>
    <numFmt numFmtId="182" formatCode="0.0&quot;°&quot;"/>
    <numFmt numFmtId="183" formatCode="0.00&quot;°&quot;"/>
    <numFmt numFmtId="184" formatCode="0.000&quot;&quot;"/>
    <numFmt numFmtId="185" formatCode="0.0&quot;&quot;"/>
  </numFmts>
  <fonts count="89" x14ac:knownFonts="1">
    <font>
      <sz val="10"/>
      <color rgb="FF000000"/>
      <name val="Arial"/>
    </font>
    <font>
      <b/>
      <sz val="10"/>
      <name val="Arial"/>
    </font>
    <font>
      <sz val="10"/>
      <name val="Arial"/>
    </font>
    <font>
      <sz val="10"/>
      <name val="Arial"/>
    </font>
    <font>
      <sz val="10"/>
      <name val="Arial"/>
    </font>
    <font>
      <u/>
      <sz val="10"/>
      <color rgb="FF1155CC"/>
      <name val="Arial"/>
    </font>
    <font>
      <u/>
      <sz val="10"/>
      <color rgb="FF0000FF"/>
      <name val="Arial"/>
    </font>
    <font>
      <b/>
      <sz val="10"/>
      <name val="Arial"/>
    </font>
    <font>
      <sz val="10"/>
      <name val="Inconsolata"/>
    </font>
    <font>
      <b/>
      <sz val="10"/>
      <color rgb="FFFFFFFF"/>
      <name val="Arial"/>
    </font>
    <font>
      <sz val="10"/>
      <color rgb="FFFFFFFF"/>
      <name val="Arial"/>
    </font>
    <font>
      <b/>
      <sz val="10"/>
      <color rgb="FF000000"/>
      <name val="Arial"/>
    </font>
    <font>
      <b/>
      <sz val="14"/>
      <color rgb="FF000000"/>
      <name val="Arial"/>
    </font>
    <font>
      <sz val="10"/>
      <color rgb="FFC0C0C0"/>
      <name val="Arial"/>
    </font>
    <font>
      <i/>
      <sz val="10"/>
      <color rgb="FFC0C0C0"/>
      <name val="Arial"/>
    </font>
    <font>
      <sz val="10"/>
      <color rgb="FF969696"/>
      <name val="Arial"/>
    </font>
    <font>
      <b/>
      <sz val="10"/>
      <color rgb="FF969696"/>
      <name val="Arial"/>
    </font>
    <font>
      <b/>
      <sz val="10"/>
      <color rgb="FF993366"/>
      <name val="Arial"/>
    </font>
    <font>
      <sz val="10"/>
      <color rgb="FF993366"/>
      <name val="Arial"/>
    </font>
    <font>
      <sz val="10"/>
      <color rgb="FF000000"/>
      <name val="Arial"/>
    </font>
    <font>
      <sz val="10"/>
      <color rgb="FF0000FF"/>
      <name val="Arial"/>
    </font>
    <font>
      <b/>
      <sz val="10"/>
      <color rgb="FF0000FF"/>
      <name val="Arial"/>
    </font>
    <font>
      <sz val="10"/>
      <color rgb="FF666666"/>
      <name val="Arial"/>
    </font>
    <font>
      <i/>
      <sz val="10"/>
      <color rgb="FF666666"/>
      <name val="Arial"/>
    </font>
    <font>
      <b/>
      <sz val="12"/>
      <color rgb="FFFFFFFF"/>
      <name val="Arial"/>
    </font>
    <font>
      <b/>
      <sz val="11"/>
      <color rgb="FF000000"/>
      <name val="Arial"/>
    </font>
    <font>
      <i/>
      <sz val="9"/>
      <color rgb="FF666666"/>
      <name val="Arial"/>
    </font>
    <font>
      <sz val="10"/>
      <color rgb="FF006400"/>
      <name val="Arial"/>
    </font>
    <font>
      <b/>
      <sz val="10"/>
      <color rgb="FF006400"/>
      <name val="Arial"/>
    </font>
    <font>
      <sz val="10"/>
      <color rgb="FFCC0000"/>
      <name val="Arial"/>
    </font>
    <font>
      <sz val="9"/>
      <color rgb="FF333333"/>
      <name val="Arial"/>
    </font>
    <font>
      <b/>
      <sz val="14"/>
      <color rgb="FF1F4E79"/>
      <name val="Arial"/>
    </font>
    <font>
      <sz val="10"/>
      <color rgb="FF1F4E79"/>
      <name val="Arial"/>
    </font>
    <font>
      <b/>
      <sz val="12"/>
      <color rgb="FF1F4E79"/>
      <name val="Arial"/>
    </font>
    <font>
      <b/>
      <sz val="10"/>
      <color rgb="FF1F4E79"/>
      <name val="Arial"/>
    </font>
    <font>
      <b/>
      <sz val="12"/>
      <color rgb="FF000000"/>
      <name val="Arial"/>
    </font>
    <font>
      <b/>
      <i/>
      <sz val="10"/>
      <color rgb="FF666666"/>
      <name val="Arial"/>
    </font>
    <font>
      <sz val="10"/>
      <color rgb="FF999999"/>
      <name val="Arial"/>
    </font>
    <font>
      <i/>
      <sz val="9"/>
      <color rgb="FF999999"/>
      <name val="Arial"/>
    </font>
    <font>
      <sz val="10"/>
      <color rgb="FF2E75B6"/>
      <name val="Arial"/>
    </font>
    <font>
      <b/>
      <sz val="10"/>
      <color rgb="FF2E75B6"/>
      <name val="Arial"/>
    </font>
    <font>
      <sz val="10"/>
      <color rgb="FF5B9BD5"/>
      <name val="Arial"/>
    </font>
    <font>
      <b/>
      <sz val="10"/>
      <color rgb="FF5B9BD5"/>
      <name val="Arial"/>
    </font>
    <font>
      <sz val="10"/>
      <color rgb="FF9DC3E6"/>
      <name val="Arial"/>
    </font>
    <font>
      <b/>
      <sz val="10"/>
      <color rgb="FF9DC3E6"/>
      <name val="Arial"/>
    </font>
    <font>
      <b/>
      <i/>
      <sz val="9"/>
      <color rgb="FF1F4E79"/>
      <name val="Arial"/>
    </font>
    <font>
      <i/>
      <sz val="10"/>
      <color rgb="FF000000"/>
      <name val="Arial"/>
    </font>
    <font>
      <sz val="9"/>
      <color rgb="FF000000"/>
      <name val="Arial"/>
    </font>
    <font>
      <b/>
      <sz val="10"/>
      <color rgb="FFCC4125"/>
      <name val="Arial"/>
    </font>
    <font>
      <b/>
      <i/>
      <sz val="9"/>
      <color rgb="FF999999"/>
      <name val="Arial"/>
    </font>
    <font>
      <b/>
      <sz val="10"/>
      <color rgb="FF990000"/>
      <name val="Arial"/>
    </font>
    <font>
      <b/>
      <sz val="9"/>
      <color rgb="FF000000"/>
      <name val="Arial"/>
    </font>
    <font>
      <b/>
      <sz val="10"/>
      <color rgb="FFCC0000"/>
      <name val="Arial"/>
    </font>
    <font>
      <i/>
      <sz val="10"/>
      <color rgb="FF999999"/>
      <name val="Arial"/>
    </font>
    <font>
      <sz val="10"/>
      <color rgb="FF0000CC"/>
      <name val="Arial"/>
    </font>
    <font>
      <b/>
      <sz val="10"/>
      <color rgb="FF0000CC"/>
      <name val="Arial"/>
    </font>
    <font>
      <i/>
      <sz val="9"/>
      <color rgb="FF0000FF"/>
      <name val="Arial"/>
    </font>
    <font>
      <sz val="9"/>
      <color indexed="81"/>
      <name val="Tahoma"/>
      <charset val="1"/>
    </font>
    <font>
      <b/>
      <sz val="9"/>
      <color indexed="81"/>
      <name val="Tahoma"/>
      <charset val="1"/>
    </font>
    <font>
      <b/>
      <sz val="9"/>
      <color rgb="FF999999"/>
      <name val="Arial"/>
    </font>
    <font>
      <b/>
      <sz val="9"/>
      <color rgb="FFCC0000"/>
      <name val="Arial"/>
    </font>
    <font>
      <sz val="9"/>
      <color rgb="FFCC0000"/>
      <name val="Arial"/>
    </font>
    <font>
      <b/>
      <i/>
      <sz val="9"/>
      <color rgb="FF666666"/>
      <name val="Arial"/>
    </font>
    <font>
      <b/>
      <sz val="16"/>
      <color rgb="FF000000"/>
      <name val="Arial"/>
    </font>
    <font>
      <sz val="10"/>
      <color rgb="FF555555"/>
      <name val="Arial"/>
    </font>
    <font>
      <i/>
      <sz val="10"/>
      <color rgb="FF555555"/>
      <name val="Arial"/>
    </font>
    <font>
      <b/>
      <sz val="11"/>
      <color rgb="FFFFFFFF"/>
      <name val="Arial"/>
    </font>
    <font>
      <sz val="10"/>
      <color rgb="FF008000"/>
      <name val="Arial"/>
    </font>
    <font>
      <sz val="10"/>
      <color rgb="FFFF0000"/>
      <name val="Arial"/>
    </font>
    <font>
      <b/>
      <sz val="10"/>
      <color rgb="FFFF0000"/>
      <name val="Arial"/>
    </font>
    <font>
      <b/>
      <sz val="10"/>
      <color rgb="FF555555"/>
      <name val="Arial"/>
    </font>
    <font>
      <b/>
      <i/>
      <sz val="10"/>
      <color rgb="FF555555"/>
      <name val="Arial"/>
    </font>
    <font>
      <i/>
      <sz val="10"/>
      <color rgb="FFFF0000"/>
      <name val="Arial"/>
    </font>
    <font>
      <sz val="10"/>
      <color rgb="FFFF8C00"/>
      <name val="Arial"/>
    </font>
    <font>
      <i/>
      <sz val="9"/>
      <color rgb="FF888888"/>
      <name val="Arial"/>
    </font>
    <font>
      <b/>
      <sz val="10"/>
      <color rgb="FF333333"/>
      <name val="Arial"/>
    </font>
    <font>
      <b/>
      <sz val="10"/>
      <color rgb="FF006600"/>
      <name val="Arial"/>
    </font>
    <font>
      <b/>
      <i/>
      <sz val="11"/>
      <color rgb="FFFFFFFF"/>
      <name val="Arial"/>
    </font>
    <font>
      <i/>
      <sz val="10"/>
      <color rgb="FF008000"/>
      <name val="Arial"/>
    </font>
    <font>
      <b/>
      <i/>
      <sz val="10"/>
      <color rgb="FF008000"/>
      <name val="Arial"/>
    </font>
    <font>
      <i/>
      <sz val="10"/>
      <color rgb="FF7030A0"/>
      <name val="Arial"/>
    </font>
    <font>
      <i/>
      <sz val="10"/>
      <color rgb="FF548235"/>
      <name val="Arial"/>
    </font>
    <font>
      <sz val="9"/>
      <color rgb="FF000000"/>
      <name val="Consolas"/>
    </font>
    <font>
      <i/>
      <sz val="9"/>
      <color rgb="FF4472C4"/>
      <name val="Consolas"/>
    </font>
    <font>
      <b/>
      <sz val="11"/>
      <color rgb="FFFFFFFF"/>
      <name val="Consolas"/>
    </font>
    <font>
      <b/>
      <sz val="14"/>
      <color rgb="FFFFFFFF"/>
      <name val="Arial"/>
    </font>
    <font>
      <i/>
      <sz val="10"/>
      <color rgb="FF5C2D91"/>
      <name val="Arial"/>
    </font>
    <font>
      <b/>
      <i/>
      <sz val="10"/>
      <color rgb="FF5C2D91"/>
      <name val="Arial"/>
    </font>
    <font>
      <b/>
      <i/>
      <sz val="14"/>
      <color rgb="FFFFFFFF"/>
      <name val="Arial"/>
    </font>
  </fonts>
  <fills count="90">
    <fill>
      <patternFill patternType="none"/>
    </fill>
    <fill>
      <patternFill patternType="gray125"/>
    </fill>
    <fill>
      <patternFill patternType="solid">
        <fgColor rgb="FF00FFFF"/>
        <bgColor rgb="FF00FFFF"/>
      </patternFill>
    </fill>
    <fill>
      <patternFill patternType="solid">
        <fgColor rgb="FFFFFFFF"/>
        <bgColor rgb="FFFFFFFF"/>
      </patternFill>
    </fill>
    <fill>
      <patternFill patternType="solid">
        <fgColor rgb="FF6FA8DC"/>
        <bgColor rgb="FF6FA8DC"/>
      </patternFill>
    </fill>
    <fill>
      <patternFill patternType="solid">
        <fgColor rgb="FFD5A6BD"/>
        <bgColor rgb="FFD5A6BD"/>
      </patternFill>
    </fill>
    <fill>
      <patternFill patternType="solid">
        <fgColor rgb="FF93C47D"/>
        <bgColor rgb="FF93C47D"/>
      </patternFill>
    </fill>
    <fill>
      <patternFill patternType="solid">
        <fgColor rgb="FFC0C0C0"/>
        <bgColor rgb="FFC0C0C0"/>
      </patternFill>
    </fill>
    <fill>
      <patternFill patternType="solid">
        <fgColor rgb="FFFFD966"/>
        <bgColor rgb="FFFFD966"/>
      </patternFill>
    </fill>
    <fill>
      <patternFill patternType="solid">
        <fgColor rgb="FFCC99FF"/>
        <bgColor rgb="FFCC99FF"/>
      </patternFill>
    </fill>
    <fill>
      <patternFill patternType="solid">
        <fgColor rgb="FFF6B26B"/>
        <bgColor rgb="FFF6B26B"/>
      </patternFill>
    </fill>
    <fill>
      <patternFill patternType="solid">
        <fgColor rgb="FFCCFFFF"/>
        <bgColor rgb="FFCCFFFF"/>
      </patternFill>
    </fill>
    <fill>
      <patternFill patternType="solid">
        <fgColor rgb="FFF3F3F3"/>
        <bgColor rgb="FFF3F3F3"/>
      </patternFill>
    </fill>
    <fill>
      <patternFill patternType="solid">
        <fgColor rgb="FFEFEFEF"/>
        <bgColor rgb="FFEFEFEF"/>
      </patternFill>
    </fill>
    <fill>
      <patternFill patternType="solid">
        <fgColor rgb="FFD9D9D9"/>
        <bgColor rgb="FFD9D9D9"/>
      </patternFill>
    </fill>
    <fill>
      <patternFill patternType="solid">
        <fgColor rgb="FFCCCCCC"/>
        <bgColor rgb="FFCCCCCC"/>
      </patternFill>
    </fill>
    <fill>
      <patternFill patternType="solid">
        <fgColor rgb="FFB7B7B7"/>
        <bgColor rgb="FFB7B7B7"/>
      </patternFill>
    </fill>
    <fill>
      <patternFill patternType="solid">
        <fgColor rgb="FF999999"/>
        <bgColor rgb="FF999999"/>
      </patternFill>
    </fill>
    <fill>
      <patternFill patternType="solid">
        <fgColor rgb="FF6AA84F"/>
        <bgColor rgb="FF6AA84F"/>
      </patternFill>
    </fill>
    <fill>
      <patternFill patternType="solid">
        <fgColor rgb="FFFCF305"/>
        <bgColor rgb="FFFCF305"/>
      </patternFill>
    </fill>
    <fill>
      <patternFill patternType="solid">
        <fgColor rgb="FFC9DAF8"/>
        <bgColor rgb="FFC9DAF8"/>
      </patternFill>
    </fill>
    <fill>
      <patternFill patternType="solid">
        <fgColor rgb="FFC27BA0"/>
        <bgColor rgb="FFC27BA0"/>
      </patternFill>
    </fill>
    <fill>
      <patternFill patternType="solid">
        <fgColor rgb="FFA64D79"/>
        <bgColor rgb="FFA64D79"/>
      </patternFill>
    </fill>
    <fill>
      <patternFill patternType="solid">
        <fgColor rgb="FF38761D"/>
        <bgColor rgb="FF38761D"/>
      </patternFill>
    </fill>
    <fill>
      <patternFill patternType="solid">
        <fgColor rgb="FF00FF00"/>
        <bgColor rgb="FF00FF00"/>
      </patternFill>
    </fill>
    <fill>
      <patternFill patternType="solid">
        <fgColor rgb="FF4A86E8"/>
        <bgColor rgb="FF4A86E8"/>
      </patternFill>
    </fill>
    <fill>
      <patternFill patternType="solid">
        <fgColor rgb="FFBF9000"/>
        <bgColor rgb="FFBF9000"/>
      </patternFill>
    </fill>
    <fill>
      <patternFill patternType="solid">
        <fgColor rgb="FFFFFF00"/>
        <bgColor rgb="FFFFFF00"/>
      </patternFill>
    </fill>
    <fill>
      <patternFill patternType="solid">
        <fgColor rgb="FF1FB714"/>
        <bgColor rgb="FF1FB714"/>
      </patternFill>
    </fill>
    <fill>
      <patternFill patternType="solid">
        <fgColor rgb="FFFF0000"/>
        <bgColor rgb="FFFF0000"/>
      </patternFill>
    </fill>
    <fill>
      <patternFill patternType="solid">
        <fgColor rgb="FFFF00FF"/>
        <bgColor rgb="FFFF00FF"/>
      </patternFill>
    </fill>
    <fill>
      <patternFill patternType="solid">
        <fgColor rgb="FF76A5AF"/>
        <bgColor rgb="FF76A5AF"/>
      </patternFill>
    </fill>
    <fill>
      <patternFill patternType="solid">
        <fgColor rgb="FF6D9EEB"/>
        <bgColor rgb="FF6D9EEB"/>
      </patternFill>
    </fill>
    <fill>
      <patternFill patternType="solid">
        <fgColor rgb="FFCC4125"/>
        <bgColor rgb="FFCC4125"/>
      </patternFill>
    </fill>
    <fill>
      <patternFill patternType="solid">
        <fgColor rgb="FFE06666"/>
        <bgColor rgb="FFE06666"/>
      </patternFill>
    </fill>
    <fill>
      <patternFill patternType="solid">
        <fgColor rgb="FFD9EAD3"/>
        <bgColor rgb="FFD9EAD3"/>
      </patternFill>
    </fill>
    <fill>
      <patternFill patternType="solid">
        <fgColor rgb="FFFFCC99"/>
        <bgColor rgb="FFFFCC99"/>
      </patternFill>
    </fill>
    <fill>
      <patternFill patternType="solid">
        <fgColor rgb="FF000090"/>
        <bgColor rgb="FF000090"/>
      </patternFill>
    </fill>
    <fill>
      <patternFill patternType="solid">
        <fgColor rgb="FF00CCFF"/>
        <bgColor rgb="FF00CCFF"/>
      </patternFill>
    </fill>
    <fill>
      <patternFill patternType="solid">
        <fgColor rgb="FFFFFF99"/>
        <bgColor rgb="FFFFFF99"/>
      </patternFill>
    </fill>
    <fill>
      <patternFill patternType="solid">
        <fgColor rgb="FFDD0806"/>
        <bgColor rgb="FFDD0806"/>
      </patternFill>
    </fill>
    <fill>
      <patternFill patternType="solid">
        <fgColor rgb="FF4600A5"/>
        <bgColor rgb="FF4600A5"/>
      </patternFill>
    </fill>
    <fill>
      <patternFill patternType="solid">
        <fgColor rgb="FF99CCFF"/>
        <bgColor rgb="FF99CCFF"/>
      </patternFill>
    </fill>
    <fill>
      <patternFill patternType="solid">
        <fgColor rgb="FF00ABEA"/>
        <bgColor rgb="FF00ABEA"/>
      </patternFill>
    </fill>
    <fill>
      <patternFill patternType="solid">
        <fgColor rgb="FF0000D4"/>
        <bgColor rgb="FF0000D4"/>
      </patternFill>
    </fill>
    <fill>
      <patternFill patternType="solid">
        <fgColor rgb="FF4A86E8"/>
        <bgColor indexed="64"/>
      </patternFill>
    </fill>
    <fill>
      <patternFill patternType="solid">
        <fgColor rgb="FF4472C4"/>
        <bgColor indexed="64"/>
      </patternFill>
    </fill>
    <fill>
      <patternFill patternType="solid">
        <fgColor rgb="FFD9E2F3"/>
        <bgColor indexed="64"/>
      </patternFill>
    </fill>
    <fill>
      <patternFill patternType="solid">
        <fgColor rgb="FFE2EFDA"/>
        <bgColor indexed="64"/>
      </patternFill>
    </fill>
    <fill>
      <patternFill patternType="solid">
        <fgColor rgb="FFFFF2CC"/>
        <bgColor indexed="64"/>
      </patternFill>
    </fill>
    <fill>
      <patternFill patternType="solid">
        <fgColor rgb="FF3C78D8"/>
        <bgColor rgb="FF3C78D8"/>
      </patternFill>
    </fill>
    <fill>
      <patternFill patternType="solid">
        <fgColor rgb="FF1C4587"/>
        <bgColor indexed="64"/>
      </patternFill>
    </fill>
    <fill>
      <patternFill patternType="solid">
        <fgColor rgb="FFFFFF00"/>
        <bgColor indexed="64"/>
      </patternFill>
    </fill>
    <fill>
      <patternFill patternType="solid">
        <fgColor rgb="FFD6E4F0"/>
        <bgColor indexed="64"/>
      </patternFill>
    </fill>
    <fill>
      <patternFill patternType="solid">
        <fgColor rgb="FF1F4E79"/>
        <bgColor indexed="64"/>
      </patternFill>
    </fill>
    <fill>
      <patternFill patternType="solid">
        <fgColor rgb="FFD9D9D9"/>
        <bgColor indexed="64"/>
      </patternFill>
    </fill>
    <fill>
      <patternFill patternType="solid">
        <fgColor rgb="FFC6EFCE"/>
        <bgColor indexed="64"/>
      </patternFill>
    </fill>
    <fill>
      <patternFill patternType="solid">
        <fgColor rgb="FFFCE4D6"/>
        <bgColor indexed="64"/>
      </patternFill>
    </fill>
    <fill>
      <patternFill patternType="solid">
        <fgColor rgb="FFF2F2F2"/>
        <bgColor indexed="64"/>
      </patternFill>
    </fill>
    <fill>
      <patternFill patternType="solid">
        <fgColor rgb="FFD9E1F2"/>
        <bgColor indexed="64"/>
      </patternFill>
    </fill>
    <fill>
      <patternFill patternType="solid">
        <fgColor rgb="FFEBF1DE"/>
        <bgColor indexed="64"/>
      </patternFill>
    </fill>
    <fill>
      <patternFill patternType="solid">
        <fgColor rgb="FFF4CCCC"/>
        <bgColor indexed="64"/>
      </patternFill>
    </fill>
    <fill>
      <patternFill patternType="solid">
        <fgColor rgb="FFD5A6BD"/>
        <bgColor indexed="64"/>
      </patternFill>
    </fill>
    <fill>
      <patternFill patternType="solid">
        <fgColor rgb="FFD9D2E9"/>
        <bgColor indexed="64"/>
      </patternFill>
    </fill>
    <fill>
      <patternFill patternType="solid">
        <fgColor rgb="FFCFE2F3"/>
        <bgColor indexed="64"/>
      </patternFill>
    </fill>
    <fill>
      <patternFill patternType="solid">
        <fgColor rgb="FFE8D5E0"/>
        <bgColor indexed="64"/>
      </patternFill>
    </fill>
    <fill>
      <patternFill patternType="solid">
        <fgColor rgb="FFB4C6E7"/>
        <bgColor indexed="64"/>
      </patternFill>
    </fill>
    <fill>
      <patternFill patternType="solid">
        <fgColor rgb="FFD5E8D4"/>
        <bgColor indexed="64"/>
      </patternFill>
    </fill>
    <fill>
      <patternFill patternType="solid">
        <fgColor rgb="FFE8F5E9"/>
        <bgColor indexed="64"/>
      </patternFill>
    </fill>
    <fill>
      <patternFill patternType="solid">
        <fgColor rgb="FFE3F2FD"/>
        <bgColor indexed="64"/>
      </patternFill>
    </fill>
    <fill>
      <patternFill patternType="solid">
        <fgColor rgb="FFE8D5E8"/>
        <bgColor indexed="64"/>
      </patternFill>
    </fill>
    <fill>
      <patternFill patternType="solid">
        <fgColor rgb="FFBDD7EE"/>
        <bgColor indexed="64"/>
      </patternFill>
    </fill>
    <fill>
      <patternFill patternType="solid">
        <fgColor rgb="FFE6B8AF"/>
        <bgColor indexed="64"/>
      </patternFill>
    </fill>
    <fill>
      <patternFill patternType="solid">
        <fgColor rgb="FFFFE599"/>
        <bgColor indexed="64"/>
      </patternFill>
    </fill>
    <fill>
      <patternFill patternType="solid">
        <fgColor rgb="FF548235"/>
        <bgColor indexed="64"/>
      </patternFill>
    </fill>
    <fill>
      <patternFill patternType="solid">
        <fgColor rgb="FFBF8F00"/>
        <bgColor indexed="64"/>
      </patternFill>
    </fill>
    <fill>
      <patternFill patternType="solid">
        <fgColor rgb="FFC55A11"/>
        <bgColor indexed="64"/>
      </patternFill>
    </fill>
    <fill>
      <patternFill patternType="solid">
        <fgColor rgb="FF7030A0"/>
        <bgColor indexed="64"/>
      </patternFill>
    </fill>
    <fill>
      <patternFill patternType="solid">
        <fgColor rgb="FF2F5496"/>
        <bgColor indexed="64"/>
      </patternFill>
    </fill>
    <fill>
      <patternFill patternType="solid">
        <fgColor rgb="FF555555"/>
        <bgColor indexed="64"/>
      </patternFill>
    </fill>
    <fill>
      <patternFill patternType="solid">
        <fgColor rgb="FFD9EAD3"/>
        <bgColor indexed="64"/>
      </patternFill>
    </fill>
    <fill>
      <patternFill patternType="solid">
        <fgColor rgb="FFC00000"/>
        <bgColor indexed="64"/>
      </patternFill>
    </fill>
    <fill>
      <patternFill patternType="solid">
        <fgColor rgb="FFE2D0F0"/>
        <bgColor indexed="64"/>
      </patternFill>
    </fill>
    <fill>
      <patternFill patternType="solid">
        <fgColor rgb="FF1F3864"/>
        <bgColor indexed="64"/>
      </patternFill>
    </fill>
    <fill>
      <patternFill patternType="solid">
        <fgColor rgb="FFE6D8C3"/>
        <bgColor indexed="64"/>
      </patternFill>
    </fill>
    <fill>
      <patternFill patternType="solid">
        <fgColor rgb="FF8B4513"/>
        <bgColor indexed="64"/>
      </patternFill>
    </fill>
    <fill>
      <patternFill patternType="solid">
        <fgColor rgb="FF2E75B6"/>
        <bgColor indexed="64"/>
      </patternFill>
    </fill>
    <fill>
      <patternFill patternType="solid">
        <fgColor rgb="FF1F3A5F"/>
        <bgColor indexed="64"/>
      </patternFill>
    </fill>
    <fill>
      <patternFill patternType="solid">
        <fgColor rgb="FF5C2D91"/>
        <bgColor indexed="64"/>
      </patternFill>
    </fill>
    <fill>
      <patternFill patternType="solid">
        <fgColor rgb="FFE5D6F2"/>
        <bgColor indexed="64"/>
      </patternFill>
    </fill>
  </fills>
  <borders count="6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AAAAAA"/>
      </left>
      <right style="thin">
        <color rgb="FFAAAAAA"/>
      </right>
      <top style="thin">
        <color rgb="FFAAAAAA"/>
      </top>
      <bottom/>
      <diagonal/>
    </border>
    <border>
      <left style="thin">
        <color rgb="FFAAAAAA"/>
      </left>
      <right style="thin">
        <color rgb="FFAAAAAA"/>
      </right>
      <top style="thin">
        <color rgb="FFAAAAAA"/>
      </top>
      <bottom style="thin">
        <color rgb="FFAAAAAA"/>
      </bottom>
      <diagonal/>
    </border>
    <border>
      <left/>
      <right/>
      <top style="thin">
        <color rgb="FFAAAAAA"/>
      </top>
      <bottom/>
      <diagonal/>
    </border>
    <border>
      <left style="thin">
        <color rgb="FFAAAAAA"/>
      </left>
      <right/>
      <top style="thin">
        <color rgb="FFAAAAAA"/>
      </top>
      <bottom style="thin">
        <color rgb="FFAAAAAA"/>
      </bottom>
      <diagonal/>
    </border>
    <border>
      <left/>
      <right style="thin">
        <color rgb="FFAAAAAA"/>
      </right>
      <top style="thin">
        <color rgb="FFAAAAAA"/>
      </top>
      <bottom style="thin">
        <color rgb="FFAAAAAA"/>
      </bottom>
      <diagonal/>
    </border>
    <border>
      <left style="thin">
        <color rgb="FFAAAAAA"/>
      </left>
      <right/>
      <top/>
      <bottom/>
      <diagonal/>
    </border>
    <border>
      <left/>
      <right/>
      <top/>
      <bottom/>
      <diagonal/>
    </border>
    <border>
      <left style="thin">
        <color rgb="FFAAAAAA"/>
      </left>
      <right/>
      <top/>
      <bottom style="thin">
        <color rgb="FFAAAAAA"/>
      </bottom>
      <diagonal/>
    </border>
    <border>
      <left/>
      <right/>
      <top/>
      <bottom style="thin">
        <color rgb="FFAAAAAA"/>
      </bottom>
      <diagonal/>
    </border>
    <border>
      <left/>
      <right style="thin">
        <color rgb="FFAAAAAA"/>
      </right>
      <top/>
      <bottom style="thin">
        <color rgb="FFAAAAAA"/>
      </bottom>
      <diagonal/>
    </border>
    <border>
      <left style="thin">
        <color rgb="FFAAAAAA"/>
      </left>
      <right style="thin">
        <color rgb="FFAAAAAA"/>
      </right>
      <top/>
      <bottom style="thin">
        <color rgb="FFAAAAAA"/>
      </bottom>
      <diagonal/>
    </border>
    <border>
      <left style="thin">
        <color rgb="FFAAAAAA"/>
      </left>
      <right/>
      <top/>
      <bottom/>
      <diagonal/>
    </border>
    <border>
      <left/>
      <right/>
      <top/>
      <bottom/>
      <diagonal/>
    </border>
    <border>
      <left style="thin">
        <color rgb="FFAAAAAA"/>
      </left>
      <right style="thin">
        <color rgb="FFAAAAAA"/>
      </right>
      <top/>
      <bottom/>
      <diagonal/>
    </border>
    <border>
      <left style="thin">
        <color rgb="FFAAAAAA"/>
      </left>
      <right/>
      <top style="thin">
        <color rgb="FFAAAAAA"/>
      </top>
      <bottom style="thin">
        <color rgb="FFAAAAAA"/>
      </bottom>
      <diagonal/>
    </border>
    <border>
      <left style="thin">
        <color rgb="FFAAAAAA"/>
      </left>
      <right style="thin">
        <color rgb="FFAAAAAA"/>
      </right>
      <top style="thin">
        <color rgb="FFAAAAAA"/>
      </top>
      <bottom/>
      <diagonal/>
    </border>
    <border>
      <left/>
      <right style="thin">
        <color rgb="FFAAAAAA"/>
      </right>
      <top style="thin">
        <color rgb="FFAAAAAA"/>
      </top>
      <bottom style="thin">
        <color rgb="FFAAAAAA"/>
      </bottom>
      <diagonal/>
    </border>
    <border>
      <left style="thin">
        <color rgb="FFAAAAAA"/>
      </left>
      <right style="thin">
        <color rgb="FFAAAAAA"/>
      </right>
      <top/>
      <bottom style="thin">
        <color rgb="FFAAAAAA"/>
      </bottom>
      <diagonal/>
    </border>
    <border>
      <left/>
      <right/>
      <top style="thin">
        <color rgb="FFAAAAAA"/>
      </top>
      <bottom style="thin">
        <color rgb="FFAAAAAA"/>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AAAAAA"/>
      </right>
      <top style="thin">
        <color rgb="FFAAAAAA"/>
      </top>
      <bottom style="thin">
        <color rgb="FFAAAAAA"/>
      </bottom>
      <diagonal/>
    </border>
    <border>
      <left/>
      <right style="thin">
        <color rgb="FFAAAAAA"/>
      </right>
      <top/>
      <bottom style="thin">
        <color rgb="FFAAAAAA"/>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rgb="FF999999"/>
      </left>
      <right style="thin">
        <color rgb="FF999999"/>
      </right>
      <top style="thin">
        <color rgb="FF999999"/>
      </top>
      <bottom/>
      <diagonal/>
    </border>
    <border>
      <left style="thin">
        <color rgb="FF999999"/>
      </left>
      <right style="thin">
        <color rgb="FF999999"/>
      </right>
      <top style="thin">
        <color indexed="65"/>
      </top>
      <bottom/>
      <diagonal/>
    </border>
    <border>
      <left/>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top style="medium">
        <color auto="1"/>
      </top>
      <bottom style="thin">
        <color auto="1"/>
      </bottom>
      <diagonal/>
    </border>
  </borders>
  <cellStyleXfs count="2">
    <xf numFmtId="0" fontId="0" fillId="0" borderId="0"/>
    <xf numFmtId="0" fontId="19" fillId="0" borderId="26"/>
  </cellStyleXfs>
  <cellXfs count="847">
    <xf numFmtId="0" fontId="0" fillId="0" borderId="0" xfId="0"/>
    <xf numFmtId="0" fontId="1" fillId="2" borderId="1" xfId="0" applyFont="1" applyFill="1" applyBorder="1"/>
    <xf numFmtId="0" fontId="1" fillId="2" borderId="2" xfId="0" applyFont="1" applyFill="1" applyBorder="1"/>
    <xf numFmtId="0" fontId="1" fillId="3" borderId="3" xfId="0" applyFont="1" applyFill="1" applyBorder="1"/>
    <xf numFmtId="0" fontId="1" fillId="4" borderId="4" xfId="0" applyFont="1" applyFill="1" applyBorder="1" applyAlignment="1">
      <alignment horizontal="left"/>
    </xf>
    <xf numFmtId="0" fontId="1" fillId="5" borderId="4" xfId="0" applyFont="1" applyFill="1" applyBorder="1" applyAlignment="1">
      <alignment horizontal="left"/>
    </xf>
    <xf numFmtId="0" fontId="1" fillId="6" borderId="4" xfId="0" applyFont="1" applyFill="1" applyBorder="1" applyAlignment="1">
      <alignment horizontal="left"/>
    </xf>
    <xf numFmtId="0" fontId="1" fillId="7" borderId="4" xfId="0" applyFont="1" applyFill="1" applyBorder="1" applyAlignment="1">
      <alignment horizontal="left"/>
    </xf>
    <xf numFmtId="0" fontId="1" fillId="8" borderId="4" xfId="0" applyFont="1" applyFill="1" applyBorder="1" applyAlignment="1">
      <alignment horizontal="left"/>
    </xf>
    <xf numFmtId="0" fontId="1" fillId="9" borderId="4" xfId="0" applyFont="1" applyFill="1" applyBorder="1" applyAlignment="1">
      <alignment horizontal="left"/>
    </xf>
    <xf numFmtId="0" fontId="1" fillId="10" borderId="4" xfId="0" applyFont="1" applyFill="1" applyBorder="1" applyAlignment="1">
      <alignment horizontal="left"/>
    </xf>
    <xf numFmtId="0" fontId="1" fillId="11" borderId="4" xfId="0" applyFont="1" applyFill="1" applyBorder="1" applyAlignment="1">
      <alignment horizontal="left"/>
    </xf>
    <xf numFmtId="0" fontId="1" fillId="11" borderId="5" xfId="0" applyFont="1" applyFill="1" applyBorder="1" applyAlignment="1">
      <alignment horizontal="left"/>
    </xf>
    <xf numFmtId="0" fontId="1" fillId="3" borderId="0" xfId="0" applyFont="1" applyFill="1" applyAlignment="1">
      <alignment horizontal="left"/>
    </xf>
    <xf numFmtId="0" fontId="2" fillId="2" borderId="2" xfId="0" applyFont="1" applyFill="1" applyBorder="1" applyAlignment="1">
      <alignment horizontal="center" wrapText="1"/>
    </xf>
    <xf numFmtId="0" fontId="2" fillId="3" borderId="6" xfId="0" applyFont="1" applyFill="1" applyBorder="1"/>
    <xf numFmtId="0" fontId="3" fillId="3" borderId="0" xfId="0" applyFont="1" applyFill="1" applyAlignment="1">
      <alignment horizontal="center" wrapText="1"/>
    </xf>
    <xf numFmtId="0" fontId="3" fillId="3" borderId="0" xfId="0" applyFont="1" applyFill="1" applyAlignment="1">
      <alignment horizontal="left"/>
    </xf>
    <xf numFmtId="0" fontId="3" fillId="3" borderId="7" xfId="0" applyFont="1" applyFill="1" applyBorder="1" applyAlignment="1">
      <alignment horizontal="left"/>
    </xf>
    <xf numFmtId="2" fontId="2" fillId="2" borderId="2" xfId="0" applyNumberFormat="1" applyFont="1" applyFill="1" applyBorder="1"/>
    <xf numFmtId="164" fontId="2" fillId="3" borderId="6" xfId="0" applyNumberFormat="1" applyFont="1" applyFill="1" applyBorder="1"/>
    <xf numFmtId="164" fontId="3" fillId="3" borderId="0" xfId="0" applyNumberFormat="1" applyFont="1" applyFill="1" applyAlignment="1">
      <alignment horizontal="left"/>
    </xf>
    <xf numFmtId="164" fontId="3" fillId="3" borderId="7" xfId="0" applyNumberFormat="1" applyFont="1" applyFill="1" applyBorder="1" applyAlignment="1">
      <alignment horizontal="left"/>
    </xf>
    <xf numFmtId="164" fontId="2" fillId="3" borderId="0" xfId="0" applyNumberFormat="1" applyFont="1" applyFill="1" applyAlignment="1">
      <alignment horizontal="left"/>
    </xf>
    <xf numFmtId="0" fontId="2" fillId="12" borderId="6" xfId="0" applyFont="1" applyFill="1" applyBorder="1"/>
    <xf numFmtId="0" fontId="3" fillId="12" borderId="0" xfId="0" applyFont="1" applyFill="1" applyAlignment="1">
      <alignment horizontal="left"/>
    </xf>
    <xf numFmtId="0" fontId="3" fillId="12" borderId="7" xfId="0" applyFont="1" applyFill="1" applyBorder="1" applyAlignment="1">
      <alignment horizontal="left"/>
    </xf>
    <xf numFmtId="164" fontId="2" fillId="12" borderId="6" xfId="0" applyNumberFormat="1" applyFont="1" applyFill="1" applyBorder="1"/>
    <xf numFmtId="164" fontId="3" fillId="12" borderId="0" xfId="0" applyNumberFormat="1" applyFont="1" applyFill="1" applyAlignment="1">
      <alignment horizontal="left"/>
    </xf>
    <xf numFmtId="164" fontId="3" fillId="12" borderId="7" xfId="0" applyNumberFormat="1" applyFont="1" applyFill="1" applyBorder="1" applyAlignment="1">
      <alignment horizontal="left"/>
    </xf>
    <xf numFmtId="0" fontId="2" fillId="13" borderId="6" xfId="0" applyFont="1" applyFill="1" applyBorder="1"/>
    <xf numFmtId="0" fontId="3" fillId="13" borderId="0" xfId="0" applyFont="1" applyFill="1" applyAlignment="1">
      <alignment horizontal="left"/>
    </xf>
    <xf numFmtId="0" fontId="3" fillId="13" borderId="7" xfId="0" applyFont="1" applyFill="1" applyBorder="1" applyAlignment="1">
      <alignment horizontal="left"/>
    </xf>
    <xf numFmtId="164" fontId="2" fillId="13" borderId="6" xfId="0" applyNumberFormat="1" applyFont="1" applyFill="1" applyBorder="1"/>
    <xf numFmtId="164" fontId="3" fillId="13" borderId="0" xfId="0" applyNumberFormat="1" applyFont="1" applyFill="1" applyAlignment="1">
      <alignment horizontal="left"/>
    </xf>
    <xf numFmtId="164" fontId="3" fillId="13" borderId="7" xfId="0" applyNumberFormat="1" applyFont="1" applyFill="1" applyBorder="1" applyAlignment="1">
      <alignment horizontal="left"/>
    </xf>
    <xf numFmtId="0" fontId="2" fillId="14" borderId="6" xfId="0" applyFont="1" applyFill="1" applyBorder="1"/>
    <xf numFmtId="0" fontId="3" fillId="14" borderId="0" xfId="0" applyFont="1" applyFill="1" applyAlignment="1">
      <alignment horizontal="left"/>
    </xf>
    <xf numFmtId="0" fontId="3" fillId="14" borderId="7" xfId="0" applyFont="1" applyFill="1" applyBorder="1" applyAlignment="1">
      <alignment horizontal="left"/>
    </xf>
    <xf numFmtId="164" fontId="2" fillId="14" borderId="6" xfId="0" applyNumberFormat="1" applyFont="1" applyFill="1" applyBorder="1"/>
    <xf numFmtId="164" fontId="3" fillId="14" borderId="0" xfId="0" applyNumberFormat="1" applyFont="1" applyFill="1" applyAlignment="1">
      <alignment horizontal="left"/>
    </xf>
    <xf numFmtId="164" fontId="3" fillId="14" borderId="7" xfId="0" applyNumberFormat="1" applyFont="1" applyFill="1" applyBorder="1" applyAlignment="1">
      <alignment horizontal="left"/>
    </xf>
    <xf numFmtId="0" fontId="2" fillId="15" borderId="6" xfId="0" applyFont="1" applyFill="1" applyBorder="1"/>
    <xf numFmtId="0" fontId="3" fillId="15" borderId="0" xfId="0" applyFont="1" applyFill="1" applyAlignment="1">
      <alignment horizontal="left"/>
    </xf>
    <xf numFmtId="0" fontId="3" fillId="15" borderId="7" xfId="0" applyFont="1" applyFill="1" applyBorder="1" applyAlignment="1">
      <alignment horizontal="left"/>
    </xf>
    <xf numFmtId="164" fontId="3" fillId="15" borderId="0" xfId="0" applyNumberFormat="1" applyFont="1" applyFill="1" applyAlignment="1">
      <alignment horizontal="left"/>
    </xf>
    <xf numFmtId="164" fontId="3" fillId="15" borderId="7" xfId="0" applyNumberFormat="1" applyFont="1" applyFill="1" applyBorder="1" applyAlignment="1">
      <alignment horizontal="left"/>
    </xf>
    <xf numFmtId="0" fontId="2" fillId="16" borderId="6" xfId="0" applyFont="1" applyFill="1" applyBorder="1"/>
    <xf numFmtId="0" fontId="3" fillId="16" borderId="0" xfId="0" applyFont="1" applyFill="1" applyAlignment="1">
      <alignment horizontal="left"/>
    </xf>
    <xf numFmtId="0" fontId="3" fillId="16" borderId="7" xfId="0" applyFont="1" applyFill="1" applyBorder="1" applyAlignment="1">
      <alignment horizontal="left"/>
    </xf>
    <xf numFmtId="164" fontId="2" fillId="16" borderId="6" xfId="0" applyNumberFormat="1" applyFont="1" applyFill="1" applyBorder="1"/>
    <xf numFmtId="164" fontId="3" fillId="16" borderId="0" xfId="0" applyNumberFormat="1" applyFont="1" applyFill="1" applyAlignment="1">
      <alignment horizontal="left"/>
    </xf>
    <xf numFmtId="164" fontId="3" fillId="16" borderId="7" xfId="0" applyNumberFormat="1" applyFont="1" applyFill="1" applyBorder="1" applyAlignment="1">
      <alignment horizontal="left"/>
    </xf>
    <xf numFmtId="0" fontId="2" fillId="17" borderId="6" xfId="0" applyFont="1" applyFill="1" applyBorder="1"/>
    <xf numFmtId="0" fontId="3" fillId="17" borderId="0" xfId="0" applyFont="1" applyFill="1" applyAlignment="1">
      <alignment horizontal="left"/>
    </xf>
    <xf numFmtId="0" fontId="3" fillId="17" borderId="7" xfId="0" applyFont="1" applyFill="1" applyBorder="1" applyAlignment="1">
      <alignment horizontal="left"/>
    </xf>
    <xf numFmtId="0" fontId="2" fillId="2" borderId="2" xfId="0" applyFont="1" applyFill="1" applyBorder="1"/>
    <xf numFmtId="164" fontId="2" fillId="17" borderId="11" xfId="0" applyNumberFormat="1" applyFont="1" applyFill="1" applyBorder="1"/>
    <xf numFmtId="164" fontId="3" fillId="17" borderId="12" xfId="0" applyNumberFormat="1" applyFont="1" applyFill="1" applyBorder="1" applyAlignment="1">
      <alignment horizontal="left"/>
    </xf>
    <xf numFmtId="164" fontId="3" fillId="17" borderId="13" xfId="0" applyNumberFormat="1" applyFont="1" applyFill="1" applyBorder="1" applyAlignment="1">
      <alignment horizontal="left"/>
    </xf>
    <xf numFmtId="164" fontId="2" fillId="3" borderId="0" xfId="0" applyNumberFormat="1" applyFont="1" applyFill="1" applyAlignment="1">
      <alignment horizontal="left" wrapText="1"/>
    </xf>
    <xf numFmtId="164" fontId="2" fillId="3" borderId="0" xfId="0" applyNumberFormat="1" applyFont="1" applyFill="1" applyAlignment="1">
      <alignment horizontal="center" vertical="center" wrapText="1"/>
    </xf>
    <xf numFmtId="0" fontId="2" fillId="3" borderId="0" xfId="0" applyFont="1" applyFill="1"/>
    <xf numFmtId="164" fontId="2" fillId="3" borderId="0" xfId="0" applyNumberFormat="1" applyFont="1" applyFill="1"/>
    <xf numFmtId="2" fontId="2" fillId="9" borderId="1" xfId="0" applyNumberFormat="1" applyFont="1" applyFill="1" applyBorder="1"/>
    <xf numFmtId="2" fontId="2" fillId="18" borderId="1" xfId="0" applyNumberFormat="1" applyFont="1" applyFill="1" applyBorder="1"/>
    <xf numFmtId="2" fontId="2" fillId="4" borderId="1" xfId="0" applyNumberFormat="1" applyFont="1" applyFill="1" applyBorder="1" applyAlignment="1">
      <alignment horizontal="left"/>
    </xf>
    <xf numFmtId="2" fontId="2" fillId="5" borderId="1" xfId="0" applyNumberFormat="1" applyFont="1" applyFill="1" applyBorder="1" applyAlignment="1">
      <alignment horizontal="left"/>
    </xf>
    <xf numFmtId="2" fontId="2" fillId="6" borderId="1" xfId="0" applyNumberFormat="1" applyFont="1" applyFill="1" applyBorder="1" applyAlignment="1">
      <alignment horizontal="left"/>
    </xf>
    <xf numFmtId="2" fontId="2" fillId="7" borderId="1" xfId="0" applyNumberFormat="1" applyFont="1" applyFill="1" applyBorder="1" applyAlignment="1">
      <alignment horizontal="left"/>
    </xf>
    <xf numFmtId="2" fontId="2" fillId="8" borderId="1" xfId="0" applyNumberFormat="1" applyFont="1" applyFill="1" applyBorder="1" applyAlignment="1">
      <alignment horizontal="left"/>
    </xf>
    <xf numFmtId="2" fontId="2" fillId="9" borderId="1" xfId="0" applyNumberFormat="1" applyFont="1" applyFill="1" applyBorder="1" applyAlignment="1">
      <alignment horizontal="left"/>
    </xf>
    <xf numFmtId="2" fontId="2" fillId="10" borderId="1" xfId="0" applyNumberFormat="1" applyFont="1" applyFill="1" applyBorder="1" applyAlignment="1">
      <alignment horizontal="left"/>
    </xf>
    <xf numFmtId="2" fontId="2" fillId="11" borderId="1" xfId="0" applyNumberFormat="1" applyFont="1" applyFill="1" applyBorder="1" applyAlignment="1">
      <alignment horizontal="left"/>
    </xf>
    <xf numFmtId="2" fontId="2" fillId="3" borderId="0" xfId="0" applyNumberFormat="1" applyFont="1" applyFill="1" applyAlignment="1">
      <alignment horizontal="left"/>
    </xf>
    <xf numFmtId="49" fontId="2" fillId="4" borderId="1" xfId="0" applyNumberFormat="1" applyFont="1" applyFill="1" applyBorder="1" applyAlignment="1">
      <alignment horizontal="left"/>
    </xf>
    <xf numFmtId="49" fontId="2" fillId="5" borderId="1" xfId="0" applyNumberFormat="1" applyFont="1" applyFill="1" applyBorder="1" applyAlignment="1">
      <alignment horizontal="left"/>
    </xf>
    <xf numFmtId="49" fontId="2" fillId="6" borderId="1" xfId="0" applyNumberFormat="1" applyFont="1" applyFill="1" applyBorder="1" applyAlignment="1">
      <alignment horizontal="left"/>
    </xf>
    <xf numFmtId="49" fontId="2" fillId="7" borderId="1" xfId="0" applyNumberFormat="1" applyFont="1" applyFill="1" applyBorder="1" applyAlignment="1">
      <alignment horizontal="left"/>
    </xf>
    <xf numFmtId="49" fontId="2" fillId="8" borderId="1" xfId="0" applyNumberFormat="1" applyFont="1" applyFill="1" applyBorder="1" applyAlignment="1">
      <alignment horizontal="left"/>
    </xf>
    <xf numFmtId="49" fontId="2" fillId="9" borderId="1" xfId="0" applyNumberFormat="1" applyFont="1" applyFill="1" applyBorder="1" applyAlignment="1">
      <alignment horizontal="left"/>
    </xf>
    <xf numFmtId="49" fontId="2" fillId="10" borderId="1" xfId="0" applyNumberFormat="1" applyFont="1" applyFill="1" applyBorder="1" applyAlignment="1">
      <alignment horizontal="left"/>
    </xf>
    <xf numFmtId="49" fontId="2" fillId="11" borderId="1" xfId="0" applyNumberFormat="1" applyFont="1" applyFill="1" applyBorder="1" applyAlignment="1">
      <alignment horizontal="left"/>
    </xf>
    <xf numFmtId="165" fontId="2" fillId="5" borderId="1" xfId="0" applyNumberFormat="1" applyFont="1" applyFill="1" applyBorder="1" applyAlignment="1">
      <alignment horizontal="left"/>
    </xf>
    <xf numFmtId="165" fontId="2" fillId="7" borderId="1" xfId="0" applyNumberFormat="1" applyFont="1" applyFill="1" applyBorder="1" applyAlignment="1">
      <alignment horizontal="left"/>
    </xf>
    <xf numFmtId="165" fontId="2" fillId="8" borderId="1" xfId="0" applyNumberFormat="1" applyFont="1" applyFill="1" applyBorder="1" applyAlignment="1">
      <alignment horizontal="left"/>
    </xf>
    <xf numFmtId="165" fontId="2" fillId="9" borderId="1" xfId="0" applyNumberFormat="1" applyFont="1" applyFill="1" applyBorder="1" applyAlignment="1">
      <alignment horizontal="left"/>
    </xf>
    <xf numFmtId="165" fontId="2" fillId="10" borderId="1" xfId="0" applyNumberFormat="1" applyFont="1" applyFill="1" applyBorder="1" applyAlignment="1">
      <alignment horizontal="left"/>
    </xf>
    <xf numFmtId="165" fontId="2" fillId="11" borderId="1" xfId="0" applyNumberFormat="1" applyFont="1" applyFill="1" applyBorder="1" applyAlignment="1">
      <alignment horizontal="left"/>
    </xf>
    <xf numFmtId="165" fontId="2" fillId="6" borderId="1" xfId="0" applyNumberFormat="1" applyFont="1" applyFill="1" applyBorder="1" applyAlignment="1">
      <alignment horizontal="left"/>
    </xf>
    <xf numFmtId="0" fontId="2" fillId="9" borderId="1" xfId="0" applyFont="1" applyFill="1" applyBorder="1"/>
    <xf numFmtId="0" fontId="2" fillId="18" borderId="1" xfId="0" applyFont="1" applyFill="1" applyBorder="1"/>
    <xf numFmtId="0" fontId="2" fillId="19" borderId="1" xfId="0" applyFont="1" applyFill="1" applyBorder="1"/>
    <xf numFmtId="166" fontId="2" fillId="4" borderId="1" xfId="0" applyNumberFormat="1" applyFont="1" applyFill="1" applyBorder="1" applyAlignment="1">
      <alignment horizontal="left"/>
    </xf>
    <xf numFmtId="166" fontId="2" fillId="5" borderId="1" xfId="0" applyNumberFormat="1" applyFont="1" applyFill="1" applyBorder="1" applyAlignment="1">
      <alignment horizontal="left"/>
    </xf>
    <xf numFmtId="166" fontId="2" fillId="6" borderId="1" xfId="0" applyNumberFormat="1" applyFont="1" applyFill="1" applyBorder="1" applyAlignment="1">
      <alignment horizontal="left"/>
    </xf>
    <xf numFmtId="166" fontId="2" fillId="7" borderId="1" xfId="0" applyNumberFormat="1" applyFont="1" applyFill="1" applyBorder="1" applyAlignment="1">
      <alignment horizontal="left"/>
    </xf>
    <xf numFmtId="166" fontId="2" fillId="8" borderId="1" xfId="0" applyNumberFormat="1" applyFont="1" applyFill="1" applyBorder="1" applyAlignment="1">
      <alignment horizontal="left"/>
    </xf>
    <xf numFmtId="166" fontId="2" fillId="9" borderId="1" xfId="0" applyNumberFormat="1" applyFont="1" applyFill="1" applyBorder="1" applyAlignment="1">
      <alignment horizontal="left"/>
    </xf>
    <xf numFmtId="166" fontId="2" fillId="10" borderId="1" xfId="0" applyNumberFormat="1" applyFont="1" applyFill="1" applyBorder="1" applyAlignment="1">
      <alignment horizontal="left"/>
    </xf>
    <xf numFmtId="166" fontId="2" fillId="11" borderId="1" xfId="0" applyNumberFormat="1" applyFont="1" applyFill="1" applyBorder="1" applyAlignment="1">
      <alignment horizontal="left"/>
    </xf>
    <xf numFmtId="0" fontId="2" fillId="9" borderId="0" xfId="0" applyFont="1" applyFill="1"/>
    <xf numFmtId="0" fontId="2" fillId="20" borderId="1" xfId="0" applyFont="1" applyFill="1" applyBorder="1"/>
    <xf numFmtId="165" fontId="2" fillId="4" borderId="1" xfId="0" applyNumberFormat="1" applyFont="1" applyFill="1" applyBorder="1" applyAlignment="1">
      <alignment horizontal="left"/>
    </xf>
    <xf numFmtId="165" fontId="2" fillId="9" borderId="1" xfId="0" applyNumberFormat="1" applyFont="1" applyFill="1" applyBorder="1"/>
    <xf numFmtId="165" fontId="2" fillId="20" borderId="1" xfId="0" applyNumberFormat="1" applyFont="1" applyFill="1" applyBorder="1"/>
    <xf numFmtId="165" fontId="2" fillId="3" borderId="0" xfId="0" applyNumberFormat="1" applyFont="1" applyFill="1" applyAlignment="1">
      <alignment horizontal="left"/>
    </xf>
    <xf numFmtId="0" fontId="2" fillId="4" borderId="1" xfId="0" applyFont="1" applyFill="1" applyBorder="1" applyAlignment="1">
      <alignment horizontal="left"/>
    </xf>
    <xf numFmtId="0" fontId="2" fillId="5" borderId="1" xfId="0" applyFont="1" applyFill="1" applyBorder="1" applyAlignment="1">
      <alignment horizontal="left"/>
    </xf>
    <xf numFmtId="0" fontId="2" fillId="6" borderId="1" xfId="0" applyFont="1" applyFill="1" applyBorder="1" applyAlignment="1">
      <alignment horizontal="left"/>
    </xf>
    <xf numFmtId="0" fontId="2" fillId="7" borderId="1" xfId="0" applyFont="1" applyFill="1" applyBorder="1" applyAlignment="1">
      <alignment horizontal="left"/>
    </xf>
    <xf numFmtId="0" fontId="2" fillId="8" borderId="1" xfId="0" applyFont="1" applyFill="1" applyBorder="1" applyAlignment="1">
      <alignment horizontal="left"/>
    </xf>
    <xf numFmtId="0" fontId="2" fillId="9" borderId="1" xfId="0" applyFont="1" applyFill="1" applyBorder="1" applyAlignment="1">
      <alignment horizontal="left"/>
    </xf>
    <xf numFmtId="0" fontId="2" fillId="10" borderId="1" xfId="0" applyFont="1" applyFill="1" applyBorder="1" applyAlignment="1">
      <alignment horizontal="left"/>
    </xf>
    <xf numFmtId="0" fontId="2" fillId="11" borderId="1" xfId="0" applyFont="1" applyFill="1" applyBorder="1" applyAlignment="1">
      <alignment horizontal="left"/>
    </xf>
    <xf numFmtId="165" fontId="2" fillId="5" borderId="1" xfId="0" applyNumberFormat="1" applyFont="1" applyFill="1" applyBorder="1"/>
    <xf numFmtId="165" fontId="3" fillId="4" borderId="1" xfId="0" applyNumberFormat="1" applyFont="1" applyFill="1" applyBorder="1" applyAlignment="1">
      <alignment horizontal="left"/>
    </xf>
    <xf numFmtId="165" fontId="3" fillId="5" borderId="1" xfId="0" applyNumberFormat="1" applyFont="1" applyFill="1" applyBorder="1" applyAlignment="1">
      <alignment horizontal="left"/>
    </xf>
    <xf numFmtId="165" fontId="3" fillId="6" borderId="1" xfId="0" applyNumberFormat="1" applyFont="1" applyFill="1" applyBorder="1" applyAlignment="1">
      <alignment horizontal="left"/>
    </xf>
    <xf numFmtId="165" fontId="3" fillId="7" borderId="1" xfId="0" applyNumberFormat="1" applyFont="1" applyFill="1" applyBorder="1" applyAlignment="1">
      <alignment horizontal="left"/>
    </xf>
    <xf numFmtId="165" fontId="3" fillId="8" borderId="1" xfId="0" applyNumberFormat="1" applyFont="1" applyFill="1" applyBorder="1" applyAlignment="1">
      <alignment horizontal="left"/>
    </xf>
    <xf numFmtId="165" fontId="3" fillId="9" borderId="1" xfId="0" applyNumberFormat="1" applyFont="1" applyFill="1" applyBorder="1" applyAlignment="1">
      <alignment horizontal="left"/>
    </xf>
    <xf numFmtId="165" fontId="3" fillId="10" borderId="1" xfId="0" applyNumberFormat="1" applyFont="1" applyFill="1" applyBorder="1" applyAlignment="1">
      <alignment horizontal="left"/>
    </xf>
    <xf numFmtId="165" fontId="3" fillId="11" borderId="1" xfId="0" applyNumberFormat="1" applyFont="1" applyFill="1" applyBorder="1" applyAlignment="1">
      <alignment horizontal="left"/>
    </xf>
    <xf numFmtId="165" fontId="2" fillId="21" borderId="1" xfId="0" applyNumberFormat="1" applyFont="1" applyFill="1" applyBorder="1"/>
    <xf numFmtId="165" fontId="2" fillId="22" borderId="1" xfId="0" applyNumberFormat="1" applyFont="1" applyFill="1" applyBorder="1"/>
    <xf numFmtId="165" fontId="2" fillId="6" borderId="1" xfId="0" applyNumberFormat="1" applyFont="1" applyFill="1" applyBorder="1"/>
    <xf numFmtId="165" fontId="2" fillId="18" borderId="1" xfId="0" applyNumberFormat="1" applyFont="1" applyFill="1" applyBorder="1"/>
    <xf numFmtId="165" fontId="2" fillId="23" borderId="1" xfId="0" applyNumberFormat="1" applyFont="1" applyFill="1" applyBorder="1"/>
    <xf numFmtId="0" fontId="2" fillId="3" borderId="0" xfId="0" applyFont="1" applyFill="1" applyAlignment="1">
      <alignment vertical="center" wrapText="1"/>
    </xf>
    <xf numFmtId="2" fontId="2" fillId="3" borderId="0" xfId="0" applyNumberFormat="1" applyFont="1" applyFill="1"/>
    <xf numFmtId="2" fontId="2" fillId="2" borderId="1" xfId="0" applyNumberFormat="1" applyFont="1" applyFill="1" applyBorder="1"/>
    <xf numFmtId="2" fontId="2" fillId="24" borderId="1" xfId="0" applyNumberFormat="1" applyFont="1" applyFill="1" applyBorder="1"/>
    <xf numFmtId="0" fontId="2" fillId="2" borderId="1" xfId="0" applyFont="1" applyFill="1" applyBorder="1"/>
    <xf numFmtId="0" fontId="2" fillId="24" borderId="1" xfId="0" applyFont="1" applyFill="1" applyBorder="1"/>
    <xf numFmtId="165" fontId="2" fillId="2" borderId="1" xfId="0" applyNumberFormat="1" applyFont="1" applyFill="1" applyBorder="1"/>
    <xf numFmtId="165" fontId="2" fillId="25" borderId="1" xfId="0" applyNumberFormat="1" applyFont="1" applyFill="1" applyBorder="1"/>
    <xf numFmtId="2" fontId="2" fillId="5" borderId="1" xfId="0" applyNumberFormat="1" applyFont="1" applyFill="1" applyBorder="1"/>
    <xf numFmtId="2" fontId="2" fillId="21" borderId="1" xfId="0" applyNumberFormat="1" applyFont="1" applyFill="1" applyBorder="1"/>
    <xf numFmtId="2" fontId="2" fillId="22" borderId="1" xfId="0" applyNumberFormat="1" applyFont="1" applyFill="1" applyBorder="1"/>
    <xf numFmtId="2" fontId="2" fillId="6" borderId="1" xfId="0" applyNumberFormat="1" applyFont="1" applyFill="1" applyBorder="1"/>
    <xf numFmtId="2" fontId="2" fillId="23" borderId="1" xfId="0" applyNumberFormat="1" applyFont="1" applyFill="1" applyBorder="1"/>
    <xf numFmtId="0" fontId="4" fillId="2" borderId="1" xfId="0" applyFont="1" applyFill="1" applyBorder="1"/>
    <xf numFmtId="0" fontId="4" fillId="26" borderId="1" xfId="0" applyFont="1" applyFill="1" applyBorder="1"/>
    <xf numFmtId="2" fontId="4" fillId="4" borderId="1" xfId="0" applyNumberFormat="1" applyFont="1" applyFill="1" applyBorder="1" applyAlignment="1">
      <alignment horizontal="left"/>
    </xf>
    <xf numFmtId="2" fontId="4" fillId="5" borderId="1" xfId="0" applyNumberFormat="1" applyFont="1" applyFill="1" applyBorder="1" applyAlignment="1">
      <alignment horizontal="left"/>
    </xf>
    <xf numFmtId="2" fontId="4" fillId="6" borderId="1" xfId="0" applyNumberFormat="1" applyFont="1" applyFill="1" applyBorder="1" applyAlignment="1">
      <alignment horizontal="left"/>
    </xf>
    <xf numFmtId="2" fontId="4" fillId="7" borderId="1" xfId="0" applyNumberFormat="1" applyFont="1" applyFill="1" applyBorder="1" applyAlignment="1">
      <alignment horizontal="left"/>
    </xf>
    <xf numFmtId="2" fontId="4" fillId="8" borderId="1" xfId="0" applyNumberFormat="1" applyFont="1" applyFill="1" applyBorder="1" applyAlignment="1">
      <alignment horizontal="left"/>
    </xf>
    <xf numFmtId="2" fontId="4" fillId="9" borderId="1" xfId="0" applyNumberFormat="1" applyFont="1" applyFill="1" applyBorder="1" applyAlignment="1">
      <alignment horizontal="left"/>
    </xf>
    <xf numFmtId="2" fontId="4" fillId="10" borderId="1" xfId="0" applyNumberFormat="1" applyFont="1" applyFill="1" applyBorder="1" applyAlignment="1">
      <alignment horizontal="left"/>
    </xf>
    <xf numFmtId="2" fontId="4" fillId="11" borderId="1" xfId="0" applyNumberFormat="1" applyFont="1" applyFill="1" applyBorder="1" applyAlignment="1">
      <alignment horizontal="left"/>
    </xf>
    <xf numFmtId="2" fontId="2" fillId="27" borderId="10" xfId="0" applyNumberFormat="1" applyFont="1" applyFill="1" applyBorder="1"/>
    <xf numFmtId="2" fontId="3" fillId="4" borderId="10" xfId="0" applyNumberFormat="1" applyFont="1" applyFill="1" applyBorder="1" applyAlignment="1">
      <alignment horizontal="left"/>
    </xf>
    <xf numFmtId="2" fontId="3" fillId="5" borderId="10" xfId="0" applyNumberFormat="1" applyFont="1" applyFill="1" applyBorder="1" applyAlignment="1">
      <alignment horizontal="left"/>
    </xf>
    <xf numFmtId="2" fontId="3" fillId="6" borderId="10" xfId="0" applyNumberFormat="1" applyFont="1" applyFill="1" applyBorder="1" applyAlignment="1">
      <alignment horizontal="left"/>
    </xf>
    <xf numFmtId="2" fontId="3" fillId="7" borderId="10" xfId="0" applyNumberFormat="1" applyFont="1" applyFill="1" applyBorder="1" applyAlignment="1">
      <alignment horizontal="left"/>
    </xf>
    <xf numFmtId="2" fontId="3" fillId="8" borderId="10" xfId="0" applyNumberFormat="1" applyFont="1" applyFill="1" applyBorder="1" applyAlignment="1">
      <alignment horizontal="left"/>
    </xf>
    <xf numFmtId="2" fontId="3" fillId="9" borderId="10" xfId="0" applyNumberFormat="1" applyFont="1" applyFill="1" applyBorder="1" applyAlignment="1">
      <alignment horizontal="left"/>
    </xf>
    <xf numFmtId="2" fontId="3" fillId="10" borderId="10" xfId="0" applyNumberFormat="1" applyFont="1" applyFill="1" applyBorder="1" applyAlignment="1">
      <alignment horizontal="left"/>
    </xf>
    <xf numFmtId="2" fontId="3" fillId="11" borderId="10" xfId="0" applyNumberFormat="1" applyFont="1" applyFill="1" applyBorder="1" applyAlignment="1">
      <alignment horizontal="left"/>
    </xf>
    <xf numFmtId="0" fontId="2" fillId="27" borderId="1" xfId="0" applyFont="1" applyFill="1" applyBorder="1"/>
    <xf numFmtId="2" fontId="3" fillId="4" borderId="1" xfId="0" applyNumberFormat="1" applyFont="1" applyFill="1" applyBorder="1" applyAlignment="1">
      <alignment horizontal="left"/>
    </xf>
    <xf numFmtId="2" fontId="3" fillId="5" borderId="1" xfId="0" applyNumberFormat="1" applyFont="1" applyFill="1" applyBorder="1" applyAlignment="1">
      <alignment horizontal="left"/>
    </xf>
    <xf numFmtId="2" fontId="3" fillId="6" borderId="1" xfId="0" applyNumberFormat="1" applyFont="1" applyFill="1" applyBorder="1" applyAlignment="1">
      <alignment horizontal="left"/>
    </xf>
    <xf numFmtId="2" fontId="3" fillId="7" borderId="1" xfId="0" applyNumberFormat="1" applyFont="1" applyFill="1" applyBorder="1" applyAlignment="1">
      <alignment horizontal="left"/>
    </xf>
    <xf numFmtId="2" fontId="3" fillId="8" borderId="1" xfId="0" applyNumberFormat="1" applyFont="1" applyFill="1" applyBorder="1" applyAlignment="1">
      <alignment horizontal="left"/>
    </xf>
    <xf numFmtId="2" fontId="3" fillId="9" borderId="1" xfId="0" applyNumberFormat="1" applyFont="1" applyFill="1" applyBorder="1" applyAlignment="1">
      <alignment horizontal="left"/>
    </xf>
    <xf numFmtId="2" fontId="3" fillId="10" borderId="1" xfId="0" applyNumberFormat="1" applyFont="1" applyFill="1" applyBorder="1" applyAlignment="1">
      <alignment horizontal="left"/>
    </xf>
    <xf numFmtId="2" fontId="3" fillId="11" borderId="1" xfId="0" applyNumberFormat="1" applyFont="1" applyFill="1" applyBorder="1" applyAlignment="1">
      <alignment horizontal="left"/>
    </xf>
    <xf numFmtId="0" fontId="2" fillId="3" borderId="0" xfId="0" applyFont="1" applyFill="1" applyAlignment="1">
      <alignment horizontal="left"/>
    </xf>
    <xf numFmtId="2" fontId="2" fillId="27" borderId="1" xfId="0" applyNumberFormat="1" applyFont="1" applyFill="1" applyBorder="1"/>
    <xf numFmtId="2" fontId="3" fillId="27" borderId="1" xfId="0" applyNumberFormat="1" applyFont="1" applyFill="1" applyBorder="1" applyAlignment="1">
      <alignment horizontal="left"/>
    </xf>
    <xf numFmtId="0" fontId="3" fillId="4" borderId="1" xfId="0" applyFont="1" applyFill="1" applyBorder="1" applyAlignment="1">
      <alignment horizontal="left"/>
    </xf>
    <xf numFmtId="0" fontId="3" fillId="5" borderId="1" xfId="0" applyFont="1" applyFill="1" applyBorder="1" applyAlignment="1">
      <alignment horizontal="left"/>
    </xf>
    <xf numFmtId="0" fontId="3" fillId="6" borderId="1" xfId="0" applyFont="1" applyFill="1" applyBorder="1" applyAlignment="1">
      <alignment horizontal="left"/>
    </xf>
    <xf numFmtId="0" fontId="3" fillId="7" borderId="1" xfId="0" applyFont="1" applyFill="1" applyBorder="1" applyAlignment="1">
      <alignment horizontal="left"/>
    </xf>
    <xf numFmtId="0" fontId="3" fillId="8" borderId="1" xfId="0" applyFont="1" applyFill="1" applyBorder="1" applyAlignment="1">
      <alignment horizontal="left"/>
    </xf>
    <xf numFmtId="0" fontId="3" fillId="9" borderId="1" xfId="0" applyFont="1" applyFill="1" applyBorder="1" applyAlignment="1">
      <alignment horizontal="left"/>
    </xf>
    <xf numFmtId="0" fontId="3" fillId="10" borderId="1" xfId="0" applyFont="1" applyFill="1" applyBorder="1" applyAlignment="1">
      <alignment horizontal="left"/>
    </xf>
    <xf numFmtId="0" fontId="3" fillId="11" borderId="1" xfId="0" applyFont="1" applyFill="1" applyBorder="1" applyAlignment="1">
      <alignment horizontal="left"/>
    </xf>
    <xf numFmtId="0" fontId="4" fillId="3" borderId="0" xfId="0" applyFont="1" applyFill="1"/>
    <xf numFmtId="0" fontId="4" fillId="3" borderId="0" xfId="0" applyFont="1" applyFill="1" applyAlignment="1">
      <alignment horizontal="left"/>
    </xf>
    <xf numFmtId="0" fontId="4" fillId="3" borderId="0" xfId="0" applyFont="1" applyFill="1" applyAlignment="1">
      <alignment vertical="center" wrapText="1"/>
    </xf>
    <xf numFmtId="2" fontId="2" fillId="28" borderId="2" xfId="0" applyNumberFormat="1" applyFont="1" applyFill="1" applyBorder="1"/>
    <xf numFmtId="164" fontId="2" fillId="3" borderId="1" xfId="0" applyNumberFormat="1" applyFont="1" applyFill="1" applyBorder="1"/>
    <xf numFmtId="164" fontId="3" fillId="3" borderId="1" xfId="0" applyNumberFormat="1" applyFont="1" applyFill="1" applyBorder="1" applyAlignment="1">
      <alignment horizontal="left"/>
    </xf>
    <xf numFmtId="164" fontId="2" fillId="12" borderId="1" xfId="0" applyNumberFormat="1" applyFont="1" applyFill="1" applyBorder="1"/>
    <xf numFmtId="164" fontId="3" fillId="12" borderId="1" xfId="0" applyNumberFormat="1" applyFont="1" applyFill="1" applyBorder="1" applyAlignment="1">
      <alignment horizontal="left"/>
    </xf>
    <xf numFmtId="164" fontId="2" fillId="13" borderId="1" xfId="0" applyNumberFormat="1" applyFont="1" applyFill="1" applyBorder="1"/>
    <xf numFmtId="164" fontId="3" fillId="13" borderId="1" xfId="0" applyNumberFormat="1" applyFont="1" applyFill="1" applyBorder="1" applyAlignment="1">
      <alignment horizontal="left"/>
    </xf>
    <xf numFmtId="164" fontId="2" fillId="14" borderId="1" xfId="0" applyNumberFormat="1" applyFont="1" applyFill="1" applyBorder="1"/>
    <xf numFmtId="164" fontId="3" fillId="14" borderId="1" xfId="0" applyNumberFormat="1" applyFont="1" applyFill="1" applyBorder="1" applyAlignment="1">
      <alignment horizontal="left"/>
    </xf>
    <xf numFmtId="0" fontId="2" fillId="15" borderId="1" xfId="0" applyFont="1" applyFill="1" applyBorder="1"/>
    <xf numFmtId="164" fontId="3" fillId="15" borderId="1" xfId="0" applyNumberFormat="1" applyFont="1" applyFill="1" applyBorder="1" applyAlignment="1">
      <alignment horizontal="left"/>
    </xf>
    <xf numFmtId="164" fontId="2" fillId="16" borderId="1" xfId="0" applyNumberFormat="1" applyFont="1" applyFill="1" applyBorder="1"/>
    <xf numFmtId="164" fontId="3" fillId="16" borderId="1" xfId="0" applyNumberFormat="1" applyFont="1" applyFill="1" applyBorder="1" applyAlignment="1">
      <alignment horizontal="left"/>
    </xf>
    <xf numFmtId="0" fontId="2" fillId="28" borderId="2" xfId="0" applyFont="1" applyFill="1" applyBorder="1"/>
    <xf numFmtId="164" fontId="2" fillId="17" borderId="1" xfId="0" applyNumberFormat="1" applyFont="1" applyFill="1" applyBorder="1"/>
    <xf numFmtId="164" fontId="3" fillId="17" borderId="1" xfId="0" applyNumberFormat="1" applyFont="1" applyFill="1" applyBorder="1" applyAlignment="1">
      <alignment horizontal="left"/>
    </xf>
    <xf numFmtId="0" fontId="4" fillId="0" borderId="0" xfId="0" applyFont="1"/>
    <xf numFmtId="0" fontId="4" fillId="3" borderId="0" xfId="0" applyFont="1" applyFill="1" applyAlignment="1">
      <alignment horizontal="left" wrapText="1"/>
    </xf>
    <xf numFmtId="0" fontId="4" fillId="29" borderId="0" xfId="0" applyFont="1" applyFill="1" applyAlignment="1">
      <alignment horizontal="left"/>
    </xf>
    <xf numFmtId="0" fontId="5" fillId="3" borderId="0" xfId="0" applyFont="1" applyFill="1" applyAlignment="1">
      <alignment horizontal="left"/>
    </xf>
    <xf numFmtId="0" fontId="6" fillId="3" borderId="0" xfId="0" applyFont="1" applyFill="1" applyAlignment="1">
      <alignment horizontal="left"/>
    </xf>
    <xf numFmtId="0" fontId="4" fillId="24" borderId="0" xfId="0" applyFont="1" applyFill="1" applyAlignment="1">
      <alignment horizontal="left"/>
    </xf>
    <xf numFmtId="0" fontId="2" fillId="30" borderId="0" xfId="0" applyFont="1" applyFill="1"/>
    <xf numFmtId="0" fontId="2" fillId="21" borderId="0" xfId="0" applyFont="1" applyFill="1" applyAlignment="1">
      <alignment horizontal="left"/>
    </xf>
    <xf numFmtId="0" fontId="2" fillId="31" borderId="0" xfId="0" applyFont="1" applyFill="1" applyAlignment="1">
      <alignment horizontal="left"/>
    </xf>
    <xf numFmtId="0" fontId="2" fillId="32" borderId="0" xfId="0" applyFont="1" applyFill="1" applyAlignment="1">
      <alignment horizontal="left"/>
    </xf>
    <xf numFmtId="0" fontId="2" fillId="6" borderId="0" xfId="0" applyFont="1" applyFill="1" applyAlignment="1">
      <alignment horizontal="left"/>
    </xf>
    <xf numFmtId="0" fontId="2" fillId="33" borderId="0" xfId="0" applyFont="1" applyFill="1" applyAlignment="1">
      <alignment horizontal="left"/>
    </xf>
    <xf numFmtId="0" fontId="2" fillId="8" borderId="0" xfId="0" applyFont="1" applyFill="1" applyAlignment="1">
      <alignment horizontal="left"/>
    </xf>
    <xf numFmtId="0" fontId="2" fillId="10" borderId="0" xfId="0" applyFont="1" applyFill="1" applyAlignment="1">
      <alignment horizontal="left"/>
    </xf>
    <xf numFmtId="0" fontId="2" fillId="34" borderId="0" xfId="0" applyFont="1" applyFill="1" applyAlignment="1">
      <alignment horizontal="left"/>
    </xf>
    <xf numFmtId="0" fontId="2" fillId="7" borderId="0" xfId="0" applyFont="1" applyFill="1" applyAlignment="1">
      <alignment horizontal="left"/>
    </xf>
    <xf numFmtId="0" fontId="2" fillId="9" borderId="0" xfId="0" applyFont="1" applyFill="1" applyAlignment="1">
      <alignment horizontal="left"/>
    </xf>
    <xf numFmtId="2" fontId="2" fillId="27" borderId="0" xfId="0" applyNumberFormat="1" applyFont="1" applyFill="1"/>
    <xf numFmtId="2" fontId="2" fillId="24" borderId="0" xfId="0" applyNumberFormat="1" applyFont="1" applyFill="1"/>
    <xf numFmtId="2" fontId="2" fillId="21" borderId="0" xfId="0" applyNumberFormat="1" applyFont="1" applyFill="1" applyAlignment="1">
      <alignment horizontal="left"/>
    </xf>
    <xf numFmtId="2" fontId="2" fillId="31" borderId="0" xfId="0" applyNumberFormat="1" applyFont="1" applyFill="1" applyAlignment="1">
      <alignment horizontal="left"/>
    </xf>
    <xf numFmtId="2" fontId="2" fillId="32" borderId="0" xfId="0" applyNumberFormat="1" applyFont="1" applyFill="1" applyAlignment="1">
      <alignment horizontal="left"/>
    </xf>
    <xf numFmtId="2" fontId="2" fillId="6" borderId="0" xfId="0" applyNumberFormat="1" applyFont="1" applyFill="1" applyAlignment="1">
      <alignment horizontal="left"/>
    </xf>
    <xf numFmtId="2" fontId="2" fillId="33" borderId="0" xfId="0" applyNumberFormat="1" applyFont="1" applyFill="1" applyAlignment="1">
      <alignment horizontal="left"/>
    </xf>
    <xf numFmtId="2" fontId="2" fillId="8" borderId="0" xfId="0" applyNumberFormat="1" applyFont="1" applyFill="1" applyAlignment="1">
      <alignment horizontal="left"/>
    </xf>
    <xf numFmtId="2" fontId="2" fillId="10" borderId="0" xfId="0" applyNumberFormat="1" applyFont="1" applyFill="1" applyAlignment="1">
      <alignment horizontal="left"/>
    </xf>
    <xf numFmtId="2" fontId="2" fillId="34" borderId="0" xfId="0" applyNumberFormat="1" applyFont="1" applyFill="1" applyAlignment="1">
      <alignment horizontal="left"/>
    </xf>
    <xf numFmtId="2" fontId="2" fillId="7" borderId="0" xfId="0" applyNumberFormat="1" applyFont="1" applyFill="1" applyAlignment="1">
      <alignment horizontal="left"/>
    </xf>
    <xf numFmtId="2" fontId="2" fillId="9" borderId="0" xfId="0" applyNumberFormat="1" applyFont="1" applyFill="1" applyAlignment="1">
      <alignment horizontal="left"/>
    </xf>
    <xf numFmtId="165" fontId="2" fillId="7" borderId="0" xfId="0" applyNumberFormat="1" applyFont="1" applyFill="1" applyAlignment="1">
      <alignment horizontal="left"/>
    </xf>
    <xf numFmtId="165" fontId="2" fillId="9" borderId="0" xfId="0" applyNumberFormat="1" applyFont="1" applyFill="1" applyAlignment="1">
      <alignment horizontal="left"/>
    </xf>
    <xf numFmtId="0" fontId="2" fillId="27" borderId="0" xfId="0" applyFont="1" applyFill="1"/>
    <xf numFmtId="0" fontId="2" fillId="24" borderId="0" xfId="0" applyFont="1" applyFill="1"/>
    <xf numFmtId="165" fontId="2" fillId="21" borderId="0" xfId="0" applyNumberFormat="1" applyFont="1" applyFill="1" applyAlignment="1">
      <alignment horizontal="left"/>
    </xf>
    <xf numFmtId="165" fontId="2" fillId="31" borderId="0" xfId="0" applyNumberFormat="1" applyFont="1" applyFill="1" applyAlignment="1">
      <alignment horizontal="left"/>
    </xf>
    <xf numFmtId="165" fontId="2" fillId="32" borderId="0" xfId="0" applyNumberFormat="1" applyFont="1" applyFill="1" applyAlignment="1">
      <alignment horizontal="left"/>
    </xf>
    <xf numFmtId="165" fontId="2" fillId="6" borderId="0" xfId="0" applyNumberFormat="1" applyFont="1" applyFill="1" applyAlignment="1">
      <alignment horizontal="left"/>
    </xf>
    <xf numFmtId="165" fontId="2" fillId="33" borderId="0" xfId="0" applyNumberFormat="1" applyFont="1" applyFill="1" applyAlignment="1">
      <alignment horizontal="left"/>
    </xf>
    <xf numFmtId="165" fontId="2" fillId="8" borderId="0" xfId="0" applyNumberFormat="1" applyFont="1" applyFill="1" applyAlignment="1">
      <alignment horizontal="left"/>
    </xf>
    <xf numFmtId="165" fontId="2" fillId="10" borderId="0" xfId="0" applyNumberFormat="1" applyFont="1" applyFill="1" applyAlignment="1">
      <alignment horizontal="left"/>
    </xf>
    <xf numFmtId="165" fontId="2" fillId="34" borderId="0" xfId="0" applyNumberFormat="1" applyFont="1" applyFill="1" applyAlignment="1">
      <alignment horizontal="left"/>
    </xf>
    <xf numFmtId="165" fontId="2" fillId="0" borderId="0" xfId="0" applyNumberFormat="1" applyFont="1" applyAlignment="1">
      <alignment horizontal="left"/>
    </xf>
    <xf numFmtId="2" fontId="2" fillId="18" borderId="0" xfId="0" applyNumberFormat="1" applyFont="1" applyFill="1"/>
    <xf numFmtId="2" fontId="2" fillId="0" borderId="0" xfId="0" applyNumberFormat="1" applyFont="1" applyAlignment="1">
      <alignment horizontal="left"/>
    </xf>
    <xf numFmtId="0" fontId="2" fillId="18" borderId="0" xfId="0" applyFont="1" applyFill="1"/>
    <xf numFmtId="0" fontId="2" fillId="2" borderId="0" xfId="0" applyFont="1" applyFill="1"/>
    <xf numFmtId="167" fontId="2" fillId="33" borderId="0" xfId="0" applyNumberFormat="1" applyFont="1" applyFill="1" applyAlignment="1">
      <alignment horizontal="left"/>
    </xf>
    <xf numFmtId="167" fontId="2" fillId="8" borderId="0" xfId="0" applyNumberFormat="1" applyFont="1" applyFill="1" applyAlignment="1">
      <alignment horizontal="left"/>
    </xf>
    <xf numFmtId="167" fontId="2" fillId="10" borderId="0" xfId="0" applyNumberFormat="1" applyFont="1" applyFill="1" applyAlignment="1">
      <alignment horizontal="left"/>
    </xf>
    <xf numFmtId="165" fontId="2" fillId="25" borderId="0" xfId="0" applyNumberFormat="1" applyFont="1" applyFill="1"/>
    <xf numFmtId="165" fontId="2" fillId="20" borderId="0" xfId="0" applyNumberFormat="1" applyFont="1" applyFill="1"/>
    <xf numFmtId="0" fontId="2" fillId="20" borderId="0" xfId="0" applyFont="1" applyFill="1"/>
    <xf numFmtId="0" fontId="4" fillId="3" borderId="0" xfId="0" applyFont="1" applyFill="1" applyAlignment="1">
      <alignment horizontal="right"/>
    </xf>
    <xf numFmtId="165" fontId="4" fillId="0" borderId="0" xfId="0" applyNumberFormat="1" applyFont="1"/>
    <xf numFmtId="0" fontId="4" fillId="2" borderId="0" xfId="0" applyFont="1" applyFill="1"/>
    <xf numFmtId="0" fontId="7" fillId="2" borderId="0" xfId="0" applyFont="1" applyFill="1"/>
    <xf numFmtId="164" fontId="2" fillId="2" borderId="0" xfId="0" applyNumberFormat="1" applyFont="1" applyFill="1"/>
    <xf numFmtId="0" fontId="2" fillId="12" borderId="0" xfId="0" applyFont="1" applyFill="1"/>
    <xf numFmtId="0" fontId="2" fillId="12" borderId="0" xfId="0" applyFont="1" applyFill="1" applyAlignment="1">
      <alignment horizontal="left"/>
    </xf>
    <xf numFmtId="164" fontId="2" fillId="12" borderId="0" xfId="0" applyNumberFormat="1" applyFont="1" applyFill="1"/>
    <xf numFmtId="164" fontId="8" fillId="12" borderId="0" xfId="0" applyNumberFormat="1" applyFont="1" applyFill="1" applyAlignment="1">
      <alignment horizontal="left"/>
    </xf>
    <xf numFmtId="165" fontId="2" fillId="12" borderId="0" xfId="0" applyNumberFormat="1" applyFont="1" applyFill="1"/>
    <xf numFmtId="165" fontId="2" fillId="2" borderId="0" xfId="0" applyNumberFormat="1" applyFont="1" applyFill="1"/>
    <xf numFmtId="165" fontId="3" fillId="12" borderId="0" xfId="0" applyNumberFormat="1" applyFont="1" applyFill="1" applyAlignment="1">
      <alignment horizontal="left"/>
    </xf>
    <xf numFmtId="165" fontId="8" fillId="12" borderId="0" xfId="0" applyNumberFormat="1" applyFont="1" applyFill="1" applyAlignment="1">
      <alignment horizontal="left"/>
    </xf>
    <xf numFmtId="0" fontId="2" fillId="13" borderId="0" xfId="0" applyFont="1" applyFill="1"/>
    <xf numFmtId="0" fontId="2" fillId="13" borderId="0" xfId="0" applyFont="1" applyFill="1" applyAlignment="1">
      <alignment horizontal="left"/>
    </xf>
    <xf numFmtId="164" fontId="2" fillId="13" borderId="0" xfId="0" applyNumberFormat="1" applyFont="1" applyFill="1"/>
    <xf numFmtId="164" fontId="8" fillId="13" borderId="0" xfId="0" applyNumberFormat="1" applyFont="1" applyFill="1" applyAlignment="1">
      <alignment horizontal="left"/>
    </xf>
    <xf numFmtId="165" fontId="2" fillId="13" borderId="0" xfId="0" applyNumberFormat="1" applyFont="1" applyFill="1"/>
    <xf numFmtId="165" fontId="3" fillId="13" borderId="0" xfId="0" applyNumberFormat="1" applyFont="1" applyFill="1" applyAlignment="1">
      <alignment horizontal="left"/>
    </xf>
    <xf numFmtId="165" fontId="8" fillId="13" borderId="0" xfId="0" applyNumberFormat="1" applyFont="1" applyFill="1" applyAlignment="1">
      <alignment horizontal="left"/>
    </xf>
    <xf numFmtId="0" fontId="2" fillId="14" borderId="0" xfId="0" applyFont="1" applyFill="1"/>
    <xf numFmtId="0" fontId="2" fillId="14" borderId="0" xfId="0" applyFont="1" applyFill="1" applyAlignment="1">
      <alignment horizontal="left"/>
    </xf>
    <xf numFmtId="164" fontId="2" fillId="14" borderId="0" xfId="0" applyNumberFormat="1" applyFont="1" applyFill="1"/>
    <xf numFmtId="164" fontId="8" fillId="14" borderId="0" xfId="0" applyNumberFormat="1" applyFont="1" applyFill="1" applyAlignment="1">
      <alignment horizontal="left"/>
    </xf>
    <xf numFmtId="165" fontId="2" fillId="14" borderId="0" xfId="0" applyNumberFormat="1" applyFont="1" applyFill="1"/>
    <xf numFmtId="165" fontId="3" fillId="14" borderId="0" xfId="0" applyNumberFormat="1" applyFont="1" applyFill="1" applyAlignment="1">
      <alignment horizontal="left"/>
    </xf>
    <xf numFmtId="165" fontId="8" fillId="14" borderId="0" xfId="0" applyNumberFormat="1" applyFont="1" applyFill="1" applyAlignment="1">
      <alignment horizontal="left"/>
    </xf>
    <xf numFmtId="0" fontId="2" fillId="15" borderId="0" xfId="0" applyFont="1" applyFill="1"/>
    <xf numFmtId="0" fontId="2" fillId="15" borderId="0" xfId="0" applyFont="1" applyFill="1" applyAlignment="1">
      <alignment horizontal="left"/>
    </xf>
    <xf numFmtId="164" fontId="2" fillId="15" borderId="0" xfId="0" applyNumberFormat="1" applyFont="1" applyFill="1" applyAlignment="1">
      <alignment horizontal="left"/>
    </xf>
    <xf numFmtId="165" fontId="2" fillId="15" borderId="0" xfId="0" applyNumberFormat="1" applyFont="1" applyFill="1"/>
    <xf numFmtId="165" fontId="2" fillId="15" borderId="0" xfId="0" applyNumberFormat="1" applyFont="1" applyFill="1" applyAlignment="1">
      <alignment horizontal="left"/>
    </xf>
    <xf numFmtId="0" fontId="2" fillId="16" borderId="0" xfId="0" applyFont="1" applyFill="1"/>
    <xf numFmtId="0" fontId="2" fillId="16" borderId="0" xfId="0" applyFont="1" applyFill="1" applyAlignment="1">
      <alignment horizontal="left"/>
    </xf>
    <xf numFmtId="164" fontId="2" fillId="16" borderId="0" xfId="0" applyNumberFormat="1" applyFont="1" applyFill="1"/>
    <xf numFmtId="164" fontId="8" fillId="16" borderId="0" xfId="0" applyNumberFormat="1" applyFont="1" applyFill="1" applyAlignment="1">
      <alignment horizontal="left"/>
    </xf>
    <xf numFmtId="165" fontId="2" fillId="16" borderId="0" xfId="0" applyNumberFormat="1" applyFont="1" applyFill="1"/>
    <xf numFmtId="165" fontId="3" fillId="16" borderId="0" xfId="0" applyNumberFormat="1" applyFont="1" applyFill="1" applyAlignment="1">
      <alignment horizontal="left"/>
    </xf>
    <xf numFmtId="165" fontId="8" fillId="16" borderId="0" xfId="0" applyNumberFormat="1" applyFont="1" applyFill="1" applyAlignment="1">
      <alignment horizontal="left"/>
    </xf>
    <xf numFmtId="0" fontId="2" fillId="17" borderId="0" xfId="0" applyFont="1" applyFill="1"/>
    <xf numFmtId="0" fontId="2" fillId="17" borderId="0" xfId="0" applyFont="1" applyFill="1" applyAlignment="1">
      <alignment horizontal="left"/>
    </xf>
    <xf numFmtId="164" fontId="2" fillId="17" borderId="0" xfId="0" applyNumberFormat="1" applyFont="1" applyFill="1"/>
    <xf numFmtId="164" fontId="8" fillId="17" borderId="0" xfId="0" applyNumberFormat="1" applyFont="1" applyFill="1" applyAlignment="1">
      <alignment horizontal="left"/>
    </xf>
    <xf numFmtId="165" fontId="2" fillId="17" borderId="0" xfId="0" applyNumberFormat="1" applyFont="1" applyFill="1"/>
    <xf numFmtId="165" fontId="3" fillId="17" borderId="0" xfId="0" applyNumberFormat="1" applyFont="1" applyFill="1" applyAlignment="1">
      <alignment horizontal="left"/>
    </xf>
    <xf numFmtId="165" fontId="8" fillId="17" borderId="0" xfId="0" applyNumberFormat="1" applyFont="1" applyFill="1" applyAlignment="1">
      <alignment horizontal="left"/>
    </xf>
    <xf numFmtId="165" fontId="2" fillId="3" borderId="0" xfId="0" applyNumberFormat="1" applyFont="1" applyFill="1"/>
    <xf numFmtId="165" fontId="3" fillId="3" borderId="0" xfId="0" applyNumberFormat="1" applyFont="1" applyFill="1" applyAlignment="1">
      <alignment horizontal="left"/>
    </xf>
    <xf numFmtId="165" fontId="8" fillId="3" borderId="0" xfId="0" applyNumberFormat="1" applyFont="1" applyFill="1" applyAlignment="1">
      <alignment horizontal="left"/>
    </xf>
    <xf numFmtId="165" fontId="1" fillId="25" borderId="0" xfId="0" applyNumberFormat="1" applyFont="1" applyFill="1"/>
    <xf numFmtId="0" fontId="2" fillId="25" borderId="0" xfId="0" applyFont="1" applyFill="1"/>
    <xf numFmtId="164" fontId="2" fillId="25" borderId="0" xfId="0" applyNumberFormat="1" applyFont="1" applyFill="1"/>
    <xf numFmtId="49" fontId="4" fillId="0" borderId="0" xfId="0" applyNumberFormat="1" applyFont="1"/>
    <xf numFmtId="168" fontId="4" fillId="0" borderId="0" xfId="0" applyNumberFormat="1" applyFont="1"/>
    <xf numFmtId="14" fontId="4" fillId="0" borderId="0" xfId="0" applyNumberFormat="1" applyFont="1"/>
    <xf numFmtId="49" fontId="4" fillId="30" borderId="0" xfId="0" applyNumberFormat="1" applyFont="1" applyFill="1"/>
    <xf numFmtId="168" fontId="4" fillId="30" borderId="0" xfId="0" applyNumberFormat="1" applyFont="1" applyFill="1"/>
    <xf numFmtId="0" fontId="4" fillId="30" borderId="0" xfId="0" applyFont="1" applyFill="1"/>
    <xf numFmtId="14" fontId="4" fillId="30" borderId="0" xfId="0" applyNumberFormat="1" applyFont="1" applyFill="1"/>
    <xf numFmtId="169" fontId="4" fillId="30" borderId="0" xfId="0" applyNumberFormat="1" applyFont="1" applyFill="1"/>
    <xf numFmtId="170" fontId="4" fillId="30" borderId="0" xfId="0" applyNumberFormat="1" applyFont="1" applyFill="1"/>
    <xf numFmtId="0" fontId="4" fillId="24" borderId="0" xfId="0" applyFont="1" applyFill="1"/>
    <xf numFmtId="169" fontId="4" fillId="0" borderId="0" xfId="0" applyNumberFormat="1" applyFont="1"/>
    <xf numFmtId="170" fontId="4" fillId="0" borderId="0" xfId="0" applyNumberFormat="1" applyFont="1"/>
    <xf numFmtId="0" fontId="4" fillId="35" borderId="0" xfId="0" applyFont="1" applyFill="1"/>
    <xf numFmtId="49" fontId="4" fillId="29" borderId="0" xfId="0" applyNumberFormat="1" applyFont="1" applyFill="1"/>
    <xf numFmtId="168" fontId="4" fillId="29" borderId="0" xfId="0" applyNumberFormat="1" applyFont="1" applyFill="1"/>
    <xf numFmtId="0" fontId="4" fillId="29" borderId="0" xfId="0" applyFont="1" applyFill="1"/>
    <xf numFmtId="14" fontId="4" fillId="29" borderId="0" xfId="0" applyNumberFormat="1" applyFont="1" applyFill="1"/>
    <xf numFmtId="169" fontId="4" fillId="29" borderId="0" xfId="0" applyNumberFormat="1" applyFont="1" applyFill="1"/>
    <xf numFmtId="170" fontId="4" fillId="29" borderId="0" xfId="0" applyNumberFormat="1" applyFont="1" applyFill="1"/>
    <xf numFmtId="49" fontId="4" fillId="24" borderId="0" xfId="0" applyNumberFormat="1" applyFont="1" applyFill="1"/>
    <xf numFmtId="168" fontId="4" fillId="24" borderId="0" xfId="0" applyNumberFormat="1" applyFont="1" applyFill="1"/>
    <xf numFmtId="14" fontId="4" fillId="24" borderId="0" xfId="0" applyNumberFormat="1" applyFont="1" applyFill="1"/>
    <xf numFmtId="168" fontId="4" fillId="3" borderId="0" xfId="0" applyNumberFormat="1" applyFont="1" applyFill="1"/>
    <xf numFmtId="0" fontId="0" fillId="3" borderId="0" xfId="0" applyFill="1"/>
    <xf numFmtId="49" fontId="0" fillId="36" borderId="0" xfId="0" applyNumberFormat="1" applyFill="1"/>
    <xf numFmtId="49" fontId="0" fillId="3" borderId="0" xfId="0" applyNumberFormat="1" applyFill="1"/>
    <xf numFmtId="49" fontId="0" fillId="0" borderId="0" xfId="0" applyNumberFormat="1"/>
    <xf numFmtId="4" fontId="0" fillId="3" borderId="0" xfId="0" applyNumberFormat="1" applyFill="1"/>
    <xf numFmtId="0" fontId="0" fillId="3" borderId="14" xfId="0" applyFill="1" applyBorder="1"/>
    <xf numFmtId="0" fontId="0" fillId="3" borderId="15" xfId="0" applyFill="1" applyBorder="1"/>
    <xf numFmtId="49" fontId="0" fillId="36" borderId="16" xfId="0" applyNumberFormat="1" applyFill="1" applyBorder="1"/>
    <xf numFmtId="49" fontId="0" fillId="3" borderId="15" xfId="0" applyNumberFormat="1" applyFill="1" applyBorder="1"/>
    <xf numFmtId="49" fontId="0" fillId="0" borderId="15" xfId="0" applyNumberFormat="1" applyBorder="1"/>
    <xf numFmtId="4" fontId="0" fillId="3" borderId="15" xfId="0" applyNumberFormat="1" applyFill="1" applyBorder="1"/>
    <xf numFmtId="49" fontId="0" fillId="0" borderId="17" xfId="0" applyNumberFormat="1" applyBorder="1"/>
    <xf numFmtId="49" fontId="0" fillId="3" borderId="18" xfId="0" applyNumberFormat="1" applyFill="1" applyBorder="1"/>
    <xf numFmtId="49" fontId="9" fillId="37" borderId="19" xfId="0" applyNumberFormat="1" applyFont="1" applyFill="1" applyBorder="1"/>
    <xf numFmtId="167" fontId="9" fillId="37" borderId="20" xfId="0" applyNumberFormat="1" applyFont="1" applyFill="1" applyBorder="1"/>
    <xf numFmtId="0" fontId="9" fillId="37" borderId="20" xfId="0" applyFont="1" applyFill="1" applyBorder="1"/>
    <xf numFmtId="0" fontId="10" fillId="37" borderId="20" xfId="0" applyFont="1" applyFill="1" applyBorder="1"/>
    <xf numFmtId="0" fontId="0" fillId="3" borderId="18" xfId="0" applyFill="1" applyBorder="1"/>
    <xf numFmtId="49" fontId="0" fillId="36" borderId="20" xfId="0" applyNumberFormat="1" applyFill="1" applyBorder="1"/>
    <xf numFmtId="165" fontId="0" fillId="0" borderId="15" xfId="0" applyNumberFormat="1" applyBorder="1"/>
    <xf numFmtId="171" fontId="0" fillId="3" borderId="15" xfId="0" applyNumberFormat="1" applyFill="1" applyBorder="1"/>
    <xf numFmtId="171" fontId="0" fillId="0" borderId="15" xfId="0" applyNumberFormat="1" applyBorder="1"/>
    <xf numFmtId="167" fontId="0" fillId="0" borderId="15" xfId="0" applyNumberFormat="1" applyBorder="1"/>
    <xf numFmtId="167" fontId="0" fillId="3" borderId="15" xfId="0" applyNumberFormat="1" applyFill="1" applyBorder="1"/>
    <xf numFmtId="167" fontId="0" fillId="0" borderId="17" xfId="0" applyNumberFormat="1" applyBorder="1"/>
    <xf numFmtId="0" fontId="0" fillId="3" borderId="24" xfId="0" applyFill="1" applyBorder="1"/>
    <xf numFmtId="49" fontId="12" fillId="3" borderId="18" xfId="0" applyNumberFormat="1" applyFont="1" applyFill="1" applyBorder="1"/>
    <xf numFmtId="49" fontId="13" fillId="3" borderId="15" xfId="0" applyNumberFormat="1" applyFont="1" applyFill="1" applyBorder="1"/>
    <xf numFmtId="49" fontId="11" fillId="3" borderId="24" xfId="0" applyNumberFormat="1" applyFont="1" applyFill="1" applyBorder="1"/>
    <xf numFmtId="49" fontId="0" fillId="3" borderId="27" xfId="0" applyNumberFormat="1" applyFill="1" applyBorder="1" applyAlignment="1">
      <alignment horizontal="left"/>
    </xf>
    <xf numFmtId="49" fontId="0" fillId="3" borderId="14" xfId="0" applyNumberFormat="1" applyFill="1" applyBorder="1"/>
    <xf numFmtId="49" fontId="0" fillId="3" borderId="14" xfId="0" applyNumberFormat="1" applyFill="1" applyBorder="1" applyAlignment="1">
      <alignment horizontal="right"/>
    </xf>
    <xf numFmtId="49" fontId="13" fillId="3" borderId="15" xfId="0" applyNumberFormat="1" applyFont="1" applyFill="1" applyBorder="1" applyAlignment="1">
      <alignment horizontal="right"/>
    </xf>
    <xf numFmtId="0" fontId="0" fillId="3" borderId="28" xfId="0" applyFill="1" applyBorder="1"/>
    <xf numFmtId="165" fontId="11" fillId="19" borderId="20" xfId="0" applyNumberFormat="1" applyFont="1" applyFill="1" applyBorder="1"/>
    <xf numFmtId="172" fontId="11" fillId="11" borderId="20" xfId="0" applyNumberFormat="1" applyFont="1" applyFill="1" applyBorder="1"/>
    <xf numFmtId="171" fontId="11" fillId="11" borderId="20" xfId="0" applyNumberFormat="1" applyFont="1" applyFill="1" applyBorder="1"/>
    <xf numFmtId="167" fontId="14" fillId="3" borderId="15" xfId="0" applyNumberFormat="1" applyFont="1" applyFill="1" applyBorder="1"/>
    <xf numFmtId="49" fontId="0" fillId="3" borderId="14" xfId="0" applyNumberFormat="1" applyFill="1" applyBorder="1" applyAlignment="1">
      <alignment horizontal="left"/>
    </xf>
    <xf numFmtId="171" fontId="11" fillId="19" borderId="20" xfId="0" applyNumberFormat="1" applyFont="1" applyFill="1" applyBorder="1"/>
    <xf numFmtId="49" fontId="0" fillId="3" borderId="27" xfId="0" applyNumberFormat="1" applyFill="1" applyBorder="1"/>
    <xf numFmtId="165" fontId="0" fillId="24" borderId="15" xfId="0" applyNumberFormat="1" applyFill="1" applyBorder="1"/>
    <xf numFmtId="49" fontId="0" fillId="3" borderId="14" xfId="0" applyNumberFormat="1" applyFill="1" applyBorder="1" applyAlignment="1">
      <alignment horizontal="center"/>
    </xf>
    <xf numFmtId="49" fontId="15" fillId="3" borderId="14" xfId="0" applyNumberFormat="1" applyFont="1" applyFill="1" applyBorder="1"/>
    <xf numFmtId="49" fontId="15" fillId="3" borderId="14" xfId="0" applyNumberFormat="1" applyFont="1" applyFill="1" applyBorder="1" applyAlignment="1">
      <alignment horizontal="left"/>
    </xf>
    <xf numFmtId="167" fontId="11" fillId="19" borderId="20" xfId="0" applyNumberFormat="1" applyFont="1" applyFill="1" applyBorder="1"/>
    <xf numFmtId="167" fontId="16" fillId="28" borderId="20" xfId="0" applyNumberFormat="1" applyFont="1" applyFill="1" applyBorder="1"/>
    <xf numFmtId="171" fontId="16" fillId="28" borderId="20" xfId="0" applyNumberFormat="1" applyFont="1" applyFill="1" applyBorder="1"/>
    <xf numFmtId="0" fontId="16" fillId="28" borderId="20" xfId="0" applyFont="1" applyFill="1" applyBorder="1"/>
    <xf numFmtId="167" fontId="14" fillId="3" borderId="18" xfId="0" applyNumberFormat="1" applyFont="1" applyFill="1" applyBorder="1"/>
    <xf numFmtId="49" fontId="11" fillId="3" borderId="15" xfId="0" applyNumberFormat="1" applyFont="1" applyFill="1" applyBorder="1"/>
    <xf numFmtId="171" fontId="11" fillId="3" borderId="14" xfId="0" applyNumberFormat="1" applyFont="1" applyFill="1" applyBorder="1"/>
    <xf numFmtId="171" fontId="11" fillId="3" borderId="15" xfId="0" applyNumberFormat="1" applyFont="1" applyFill="1" applyBorder="1"/>
    <xf numFmtId="171" fontId="13" fillId="3" borderId="15" xfId="0" applyNumberFormat="1" applyFont="1" applyFill="1" applyBorder="1"/>
    <xf numFmtId="49" fontId="11" fillId="3" borderId="28" xfId="0" applyNumberFormat="1" applyFont="1" applyFill="1" applyBorder="1" applyAlignment="1">
      <alignment horizontal="right"/>
    </xf>
    <xf numFmtId="0" fontId="11" fillId="11" borderId="20" xfId="0" applyFont="1" applyFill="1" applyBorder="1" applyAlignment="1">
      <alignment horizontal="left"/>
    </xf>
    <xf numFmtId="0" fontId="13" fillId="3" borderId="15" xfId="0" applyFont="1" applyFill="1" applyBorder="1"/>
    <xf numFmtId="167" fontId="11" fillId="19" borderId="20" xfId="0" applyNumberFormat="1" applyFont="1" applyFill="1" applyBorder="1" applyAlignment="1">
      <alignment horizontal="right"/>
    </xf>
    <xf numFmtId="167" fontId="11" fillId="39" borderId="20" xfId="0" applyNumberFormat="1" applyFont="1" applyFill="1" applyBorder="1"/>
    <xf numFmtId="1" fontId="11" fillId="39" borderId="20" xfId="0" applyNumberFormat="1" applyFont="1" applyFill="1" applyBorder="1"/>
    <xf numFmtId="0" fontId="0" fillId="0" borderId="15" xfId="0" applyBorder="1"/>
    <xf numFmtId="169" fontId="0" fillId="0" borderId="15" xfId="0" applyNumberFormat="1" applyBorder="1"/>
    <xf numFmtId="0" fontId="0" fillId="0" borderId="29" xfId="0" applyBorder="1"/>
    <xf numFmtId="49" fontId="11" fillId="40" borderId="20" xfId="0" applyNumberFormat="1" applyFont="1" applyFill="1" applyBorder="1"/>
    <xf numFmtId="49" fontId="0" fillId="0" borderId="30" xfId="0" applyNumberFormat="1" applyBorder="1"/>
    <xf numFmtId="0" fontId="0" fillId="3" borderId="30" xfId="0" applyFill="1" applyBorder="1"/>
    <xf numFmtId="4" fontId="0" fillId="3" borderId="30" xfId="0" applyNumberFormat="1" applyFill="1" applyBorder="1"/>
    <xf numFmtId="49" fontId="0" fillId="0" borderId="31" xfId="0" applyNumberFormat="1" applyBorder="1"/>
    <xf numFmtId="2" fontId="11" fillId="3" borderId="24" xfId="0" applyNumberFormat="1" applyFont="1" applyFill="1" applyBorder="1"/>
    <xf numFmtId="49" fontId="9" fillId="41" borderId="19" xfId="0" applyNumberFormat="1" applyFont="1" applyFill="1" applyBorder="1"/>
    <xf numFmtId="0" fontId="9" fillId="41" borderId="20" xfId="0" applyFont="1" applyFill="1" applyBorder="1"/>
    <xf numFmtId="0" fontId="10" fillId="41" borderId="20" xfId="0" applyFont="1" applyFill="1" applyBorder="1"/>
    <xf numFmtId="49" fontId="0" fillId="9" borderId="19" xfId="0" applyNumberFormat="1" applyFill="1" applyBorder="1"/>
    <xf numFmtId="0" fontId="0" fillId="9" borderId="20" xfId="0" applyFill="1" applyBorder="1"/>
    <xf numFmtId="167" fontId="11" fillId="9" borderId="20" xfId="0" applyNumberFormat="1" applyFont="1" applyFill="1" applyBorder="1"/>
    <xf numFmtId="171" fontId="11" fillId="9" borderId="20" xfId="0" applyNumberFormat="1" applyFont="1" applyFill="1" applyBorder="1"/>
    <xf numFmtId="0" fontId="11" fillId="9" borderId="20" xfId="0" applyFont="1" applyFill="1" applyBorder="1"/>
    <xf numFmtId="49" fontId="17" fillId="3" borderId="15" xfId="0" applyNumberFormat="1" applyFont="1" applyFill="1" applyBorder="1"/>
    <xf numFmtId="49" fontId="0" fillId="3" borderId="15" xfId="0" applyNumberFormat="1" applyFill="1" applyBorder="1" applyAlignment="1">
      <alignment horizontal="center"/>
    </xf>
    <xf numFmtId="171" fontId="11" fillId="42" borderId="20" xfId="0" applyNumberFormat="1" applyFont="1" applyFill="1" applyBorder="1"/>
    <xf numFmtId="167" fontId="11" fillId="42" borderId="20" xfId="0" applyNumberFormat="1" applyFont="1" applyFill="1" applyBorder="1"/>
    <xf numFmtId="0" fontId="11" fillId="19" borderId="20" xfId="0" applyFont="1" applyFill="1" applyBorder="1"/>
    <xf numFmtId="0" fontId="11" fillId="42" borderId="20" xfId="0" applyFont="1" applyFill="1" applyBorder="1"/>
    <xf numFmtId="49" fontId="0" fillId="3" borderId="27" xfId="0" applyNumberFormat="1" applyFill="1" applyBorder="1" applyAlignment="1">
      <alignment horizontal="center"/>
    </xf>
    <xf numFmtId="172" fontId="11" fillId="42" borderId="20" xfId="0" applyNumberFormat="1" applyFont="1" applyFill="1" applyBorder="1"/>
    <xf numFmtId="0" fontId="0" fillId="3" borderId="32" xfId="0" applyFill="1" applyBorder="1"/>
    <xf numFmtId="167" fontId="0" fillId="3" borderId="24" xfId="0" applyNumberFormat="1" applyFill="1" applyBorder="1" applyAlignment="1">
      <alignment horizontal="center"/>
    </xf>
    <xf numFmtId="2" fontId="11" fillId="19" borderId="20" xfId="0" applyNumberFormat="1" applyFont="1" applyFill="1" applyBorder="1"/>
    <xf numFmtId="167" fontId="11" fillId="3" borderId="24" xfId="0" applyNumberFormat="1" applyFont="1" applyFill="1" applyBorder="1"/>
    <xf numFmtId="167" fontId="11" fillId="3" borderId="15" xfId="0" applyNumberFormat="1" applyFont="1" applyFill="1" applyBorder="1"/>
    <xf numFmtId="49" fontId="0" fillId="7" borderId="19" xfId="0" applyNumberFormat="1" applyFill="1" applyBorder="1"/>
    <xf numFmtId="0" fontId="0" fillId="3" borderId="18" xfId="0" applyFill="1" applyBorder="1" applyAlignment="1">
      <alignment horizontal="center"/>
    </xf>
    <xf numFmtId="0" fontId="0" fillId="3" borderId="15" xfId="0" applyFill="1" applyBorder="1" applyAlignment="1">
      <alignment horizontal="center"/>
    </xf>
    <xf numFmtId="171" fontId="0" fillId="3" borderId="15" xfId="0" applyNumberFormat="1" applyFill="1" applyBorder="1" applyAlignment="1">
      <alignment horizontal="center"/>
    </xf>
    <xf numFmtId="49" fontId="11" fillId="3" borderId="15" xfId="0" applyNumberFormat="1" applyFont="1" applyFill="1" applyBorder="1" applyAlignment="1">
      <alignment horizontal="center"/>
    </xf>
    <xf numFmtId="49" fontId="15" fillId="7" borderId="19" xfId="0" applyNumberFormat="1" applyFont="1" applyFill="1" applyBorder="1"/>
    <xf numFmtId="0" fontId="15" fillId="3" borderId="18" xfId="0" applyFont="1" applyFill="1" applyBorder="1"/>
    <xf numFmtId="0" fontId="15" fillId="3" borderId="15" xfId="0" applyFont="1" applyFill="1" applyBorder="1"/>
    <xf numFmtId="49" fontId="13" fillId="3" borderId="27" xfId="0" applyNumberFormat="1" applyFont="1" applyFill="1" applyBorder="1"/>
    <xf numFmtId="167" fontId="13" fillId="3" borderId="14" xfId="0" applyNumberFormat="1" applyFont="1" applyFill="1" applyBorder="1"/>
    <xf numFmtId="171" fontId="11" fillId="42" borderId="33" xfId="0" applyNumberFormat="1" applyFont="1" applyFill="1" applyBorder="1"/>
    <xf numFmtId="171" fontId="11" fillId="42" borderId="34" xfId="0" applyNumberFormat="1" applyFont="1" applyFill="1" applyBorder="1"/>
    <xf numFmtId="0" fontId="0" fillId="3" borderId="35" xfId="0" applyFill="1" applyBorder="1"/>
    <xf numFmtId="49" fontId="0" fillId="3" borderId="19" xfId="0" applyNumberFormat="1" applyFill="1" applyBorder="1"/>
    <xf numFmtId="165" fontId="11" fillId="43" borderId="20" xfId="0" applyNumberFormat="1" applyFont="1" applyFill="1" applyBorder="1"/>
    <xf numFmtId="0" fontId="11" fillId="3" borderId="20" xfId="0" applyFont="1" applyFill="1" applyBorder="1"/>
    <xf numFmtId="0" fontId="0" fillId="3" borderId="36" xfId="0" applyFill="1" applyBorder="1"/>
    <xf numFmtId="0" fontId="0" fillId="3" borderId="27" xfId="0" applyFill="1" applyBorder="1"/>
    <xf numFmtId="49" fontId="9" fillId="44" borderId="19" xfId="0" applyNumberFormat="1" applyFont="1" applyFill="1" applyBorder="1"/>
    <xf numFmtId="0" fontId="0" fillId="44" borderId="20" xfId="0" applyFill="1" applyBorder="1"/>
    <xf numFmtId="167" fontId="0" fillId="3" borderId="24" xfId="0" applyNumberFormat="1" applyFill="1" applyBorder="1"/>
    <xf numFmtId="49" fontId="11" fillId="3" borderId="28" xfId="0" applyNumberFormat="1" applyFont="1" applyFill="1" applyBorder="1"/>
    <xf numFmtId="1" fontId="11" fillId="42" borderId="20" xfId="0" applyNumberFormat="1" applyFont="1" applyFill="1" applyBorder="1" applyAlignment="1">
      <alignment horizontal="right"/>
    </xf>
    <xf numFmtId="49" fontId="11" fillId="3" borderId="32" xfId="0" applyNumberFormat="1" applyFont="1" applyFill="1" applyBorder="1" applyAlignment="1">
      <alignment horizontal="right"/>
    </xf>
    <xf numFmtId="0" fontId="0" fillId="42" borderId="20" xfId="0" applyFill="1" applyBorder="1"/>
    <xf numFmtId="167" fontId="13" fillId="3" borderId="18" xfId="0" applyNumberFormat="1" applyFont="1" applyFill="1" applyBorder="1"/>
    <xf numFmtId="165" fontId="13" fillId="3" borderId="15" xfId="0" applyNumberFormat="1" applyFont="1" applyFill="1" applyBorder="1"/>
    <xf numFmtId="2" fontId="11" fillId="19" borderId="20" xfId="0" applyNumberFormat="1" applyFont="1" applyFill="1" applyBorder="1" applyAlignment="1">
      <alignment horizontal="right"/>
    </xf>
    <xf numFmtId="167" fontId="15" fillId="3" borderId="15" xfId="0" applyNumberFormat="1" applyFont="1" applyFill="1" applyBorder="1"/>
    <xf numFmtId="0" fontId="10" fillId="3" borderId="15" xfId="0" applyFont="1" applyFill="1" applyBorder="1"/>
    <xf numFmtId="0" fontId="11" fillId="3" borderId="15" xfId="0" applyFont="1" applyFill="1" applyBorder="1"/>
    <xf numFmtId="2" fontId="11" fillId="3" borderId="24" xfId="0" applyNumberFormat="1" applyFont="1" applyFill="1" applyBorder="1" applyAlignment="1">
      <alignment horizontal="right"/>
    </xf>
    <xf numFmtId="173" fontId="13" fillId="3" borderId="15" xfId="0" applyNumberFormat="1" applyFont="1" applyFill="1" applyBorder="1"/>
    <xf numFmtId="167" fontId="13" fillId="3" borderId="15" xfId="0" applyNumberFormat="1" applyFont="1" applyFill="1" applyBorder="1"/>
    <xf numFmtId="49" fontId="18" fillId="3" borderId="15" xfId="0" applyNumberFormat="1" applyFont="1" applyFill="1" applyBorder="1"/>
    <xf numFmtId="167" fontId="11" fillId="3" borderId="15" xfId="0" applyNumberFormat="1" applyFont="1" applyFill="1" applyBorder="1" applyAlignment="1">
      <alignment horizontal="right"/>
    </xf>
    <xf numFmtId="4" fontId="0" fillId="0" borderId="0" xfId="0" applyNumberFormat="1"/>
    <xf numFmtId="0" fontId="0" fillId="0" borderId="37" xfId="0" pivotButton="1" applyBorder="1"/>
    <xf numFmtId="0" fontId="0" fillId="0" borderId="38" xfId="0" pivotButton="1" applyBorder="1"/>
    <xf numFmtId="0" fontId="0" fillId="0" borderId="38" xfId="0" applyBorder="1"/>
    <xf numFmtId="0" fontId="0" fillId="0" borderId="39" xfId="0" applyBorder="1"/>
    <xf numFmtId="0" fontId="0" fillId="0" borderId="40" xfId="0" applyBorder="1"/>
    <xf numFmtId="0" fontId="0" fillId="0" borderId="37" xfId="0" applyBorder="1"/>
    <xf numFmtId="0" fontId="0" fillId="0" borderId="41" xfId="0" applyBorder="1"/>
    <xf numFmtId="0" fontId="0" fillId="0" borderId="42" xfId="0" applyBorder="1"/>
    <xf numFmtId="0" fontId="0" fillId="0" borderId="43" xfId="0" applyBorder="1"/>
    <xf numFmtId="0" fontId="0" fillId="0" borderId="44" xfId="0" applyBorder="1"/>
    <xf numFmtId="0" fontId="0" fillId="0" borderId="46" xfId="0" applyBorder="1"/>
    <xf numFmtId="165" fontId="0" fillId="45" borderId="0" xfId="0" applyNumberFormat="1" applyFill="1" applyAlignment="1">
      <alignment horizontal="left"/>
    </xf>
    <xf numFmtId="164" fontId="0" fillId="45" borderId="0" xfId="0" applyNumberFormat="1" applyFill="1" applyAlignment="1">
      <alignment horizontal="left"/>
    </xf>
    <xf numFmtId="0" fontId="9" fillId="45" borderId="0" xfId="0" applyFont="1" applyFill="1"/>
    <xf numFmtId="173" fontId="0" fillId="0" borderId="0" xfId="0" applyNumberFormat="1"/>
    <xf numFmtId="2" fontId="0" fillId="0" borderId="0" xfId="0" applyNumberFormat="1"/>
    <xf numFmtId="0" fontId="12" fillId="0" borderId="0" xfId="0" applyFont="1"/>
    <xf numFmtId="0" fontId="9" fillId="46" borderId="0" xfId="0" applyFont="1" applyFill="1"/>
    <xf numFmtId="0" fontId="11" fillId="0" borderId="0" xfId="0" applyFont="1"/>
    <xf numFmtId="1" fontId="9" fillId="46" borderId="0" xfId="0" applyNumberFormat="1" applyFont="1" applyFill="1"/>
    <xf numFmtId="0" fontId="0" fillId="47" borderId="0" xfId="0" applyFill="1"/>
    <xf numFmtId="0" fontId="11" fillId="47" borderId="0" xfId="0" applyFont="1" applyFill="1"/>
    <xf numFmtId="0" fontId="20" fillId="0" borderId="0" xfId="0" applyFont="1"/>
    <xf numFmtId="0" fontId="21" fillId="0" borderId="0" xfId="0" applyFont="1"/>
    <xf numFmtId="0" fontId="21" fillId="47" borderId="0" xfId="0" applyFont="1" applyFill="1"/>
    <xf numFmtId="0" fontId="0" fillId="48" borderId="0" xfId="0" applyFill="1"/>
    <xf numFmtId="0" fontId="21" fillId="48" borderId="0" xfId="0" applyFont="1" applyFill="1"/>
    <xf numFmtId="164" fontId="0" fillId="0" borderId="0" xfId="0" applyNumberFormat="1"/>
    <xf numFmtId="165" fontId="0" fillId="0" borderId="0" xfId="0" applyNumberFormat="1"/>
    <xf numFmtId="165" fontId="20" fillId="0" borderId="0" xfId="0" applyNumberFormat="1" applyFont="1"/>
    <xf numFmtId="0" fontId="11" fillId="48" borderId="0" xfId="0" applyFont="1" applyFill="1"/>
    <xf numFmtId="0" fontId="0" fillId="49" borderId="0" xfId="0" applyFill="1"/>
    <xf numFmtId="0" fontId="11" fillId="49" borderId="0" xfId="0" applyFont="1" applyFill="1"/>
    <xf numFmtId="0" fontId="2" fillId="30" borderId="26" xfId="1" applyFont="1" applyFill="1"/>
    <xf numFmtId="0" fontId="2" fillId="21" borderId="26" xfId="1" applyFont="1" applyFill="1" applyAlignment="1">
      <alignment horizontal="left"/>
    </xf>
    <xf numFmtId="0" fontId="2" fillId="27" borderId="26" xfId="1" applyFont="1" applyFill="1" applyAlignment="1">
      <alignment horizontal="left"/>
    </xf>
    <xf numFmtId="0" fontId="2" fillId="18" borderId="26" xfId="1" applyFont="1" applyFill="1" applyAlignment="1">
      <alignment horizontal="left"/>
    </xf>
    <xf numFmtId="0" fontId="2" fillId="50" borderId="26" xfId="1" applyFont="1" applyFill="1" applyAlignment="1">
      <alignment horizontal="left"/>
    </xf>
    <xf numFmtId="0" fontId="2" fillId="5" borderId="26" xfId="1" applyFont="1" applyFill="1" applyAlignment="1">
      <alignment horizontal="left"/>
    </xf>
    <xf numFmtId="0" fontId="19" fillId="0" borderId="26" xfId="1"/>
    <xf numFmtId="2" fontId="2" fillId="27" borderId="26" xfId="1" applyNumberFormat="1" applyFont="1" applyFill="1"/>
    <xf numFmtId="2" fontId="2" fillId="24" borderId="26" xfId="1" applyNumberFormat="1" applyFont="1" applyFill="1"/>
    <xf numFmtId="2" fontId="2" fillId="21" borderId="26" xfId="1" applyNumberFormat="1" applyFont="1" applyFill="1" applyAlignment="1">
      <alignment horizontal="left"/>
    </xf>
    <xf numFmtId="2" fontId="2" fillId="18" borderId="26" xfId="1" applyNumberFormat="1" applyFont="1" applyFill="1" applyAlignment="1">
      <alignment horizontal="left"/>
    </xf>
    <xf numFmtId="2" fontId="2" fillId="50" borderId="26" xfId="1" applyNumberFormat="1" applyFont="1" applyFill="1" applyAlignment="1">
      <alignment horizontal="left"/>
    </xf>
    <xf numFmtId="2" fontId="2" fillId="5" borderId="26" xfId="1" applyNumberFormat="1" applyFont="1" applyFill="1" applyAlignment="1">
      <alignment horizontal="left"/>
    </xf>
    <xf numFmtId="0" fontId="2" fillId="27" borderId="26" xfId="1" applyFont="1" applyFill="1"/>
    <xf numFmtId="0" fontId="2" fillId="24" borderId="26" xfId="1" applyFont="1" applyFill="1"/>
    <xf numFmtId="165" fontId="2" fillId="21" borderId="26" xfId="1" applyNumberFormat="1" applyFont="1" applyFill="1" applyAlignment="1">
      <alignment horizontal="left"/>
    </xf>
    <xf numFmtId="165" fontId="2" fillId="18" borderId="26" xfId="1" applyNumberFormat="1" applyFont="1" applyFill="1" applyAlignment="1">
      <alignment horizontal="left"/>
    </xf>
    <xf numFmtId="165" fontId="2" fillId="50" borderId="26" xfId="1" applyNumberFormat="1" applyFont="1" applyFill="1" applyAlignment="1">
      <alignment horizontal="left"/>
    </xf>
    <xf numFmtId="165" fontId="2" fillId="5" borderId="26" xfId="1" applyNumberFormat="1" applyFont="1" applyFill="1" applyAlignment="1">
      <alignment horizontal="left"/>
    </xf>
    <xf numFmtId="2" fontId="2" fillId="18" borderId="26" xfId="1" applyNumberFormat="1" applyFont="1" applyFill="1"/>
    <xf numFmtId="0" fontId="2" fillId="18" borderId="26" xfId="1" applyFont="1" applyFill="1"/>
    <xf numFmtId="0" fontId="2" fillId="2" borderId="26" xfId="1" applyFont="1" applyFill="1"/>
    <xf numFmtId="165" fontId="2" fillId="25" borderId="26" xfId="1" applyNumberFormat="1" applyFont="1" applyFill="1"/>
    <xf numFmtId="165" fontId="2" fillId="20" borderId="26" xfId="1" applyNumberFormat="1" applyFont="1" applyFill="1"/>
    <xf numFmtId="0" fontId="2" fillId="20" borderId="26" xfId="1" applyFont="1" applyFill="1"/>
    <xf numFmtId="0" fontId="2" fillId="0" borderId="26" xfId="1" applyFont="1"/>
    <xf numFmtId="0" fontId="2" fillId="21" borderId="26" xfId="1" applyFont="1" applyFill="1"/>
    <xf numFmtId="0" fontId="2" fillId="50" borderId="26" xfId="1" applyFont="1" applyFill="1"/>
    <xf numFmtId="0" fontId="2" fillId="5" borderId="26" xfId="1" applyFont="1" applyFill="1"/>
    <xf numFmtId="4" fontId="2" fillId="21" borderId="26" xfId="1" applyNumberFormat="1" applyFont="1" applyFill="1"/>
    <xf numFmtId="0" fontId="1" fillId="2" borderId="26" xfId="1" applyFont="1" applyFill="1"/>
    <xf numFmtId="0" fontId="2" fillId="3" borderId="26" xfId="1" applyFont="1" applyFill="1"/>
    <xf numFmtId="164" fontId="2" fillId="3" borderId="26" xfId="1" applyNumberFormat="1" applyFont="1" applyFill="1"/>
    <xf numFmtId="164" fontId="2" fillId="2" borderId="26" xfId="1" applyNumberFormat="1" applyFont="1" applyFill="1"/>
    <xf numFmtId="164" fontId="2" fillId="27" borderId="26" xfId="1" applyNumberFormat="1" applyFont="1" applyFill="1" applyAlignment="1">
      <alignment horizontal="left"/>
    </xf>
    <xf numFmtId="0" fontId="2" fillId="12" borderId="26" xfId="1" applyFont="1" applyFill="1"/>
    <xf numFmtId="164" fontId="2" fillId="12" borderId="26" xfId="1" applyNumberFormat="1" applyFont="1" applyFill="1"/>
    <xf numFmtId="164" fontId="8" fillId="27" borderId="26" xfId="1" applyNumberFormat="1" applyFont="1" applyFill="1" applyAlignment="1">
      <alignment horizontal="left"/>
    </xf>
    <xf numFmtId="165" fontId="2" fillId="12" borderId="26" xfId="1" applyNumberFormat="1" applyFont="1" applyFill="1"/>
    <xf numFmtId="165" fontId="2" fillId="2" borderId="26" xfId="1" applyNumberFormat="1" applyFont="1" applyFill="1"/>
    <xf numFmtId="165" fontId="2" fillId="27" borderId="26" xfId="1" applyNumberFormat="1" applyFont="1" applyFill="1" applyAlignment="1">
      <alignment horizontal="left"/>
    </xf>
    <xf numFmtId="0" fontId="2" fillId="13" borderId="26" xfId="1" applyFont="1" applyFill="1"/>
    <xf numFmtId="164" fontId="2" fillId="13" borderId="26" xfId="1" applyNumberFormat="1" applyFont="1" applyFill="1"/>
    <xf numFmtId="165" fontId="2" fillId="13" borderId="26" xfId="1" applyNumberFormat="1" applyFont="1" applyFill="1"/>
    <xf numFmtId="0" fontId="2" fillId="14" borderId="26" xfId="1" applyFont="1" applyFill="1"/>
    <xf numFmtId="164" fontId="2" fillId="14" borderId="26" xfId="1" applyNumberFormat="1" applyFont="1" applyFill="1"/>
    <xf numFmtId="165" fontId="2" fillId="14" borderId="26" xfId="1" applyNumberFormat="1" applyFont="1" applyFill="1"/>
    <xf numFmtId="165" fontId="2" fillId="3" borderId="26" xfId="1" applyNumberFormat="1" applyFont="1" applyFill="1"/>
    <xf numFmtId="165" fontId="2" fillId="3" borderId="26" xfId="1" applyNumberFormat="1" applyFont="1" applyFill="1" applyAlignment="1">
      <alignment horizontal="left"/>
    </xf>
    <xf numFmtId="0" fontId="22" fillId="0" borderId="0" xfId="0" applyFont="1"/>
    <xf numFmtId="0" fontId="23" fillId="0" borderId="0" xfId="0" applyFont="1"/>
    <xf numFmtId="0" fontId="24" fillId="51" borderId="0" xfId="0" applyFont="1" applyFill="1"/>
    <xf numFmtId="0" fontId="0" fillId="51" borderId="0" xfId="0" applyFill="1"/>
    <xf numFmtId="1" fontId="0" fillId="0" borderId="0" xfId="0" applyNumberFormat="1"/>
    <xf numFmtId="0" fontId="11" fillId="52" borderId="0" xfId="0" applyFont="1" applyFill="1"/>
    <xf numFmtId="2" fontId="11" fillId="0" borderId="0" xfId="0" applyNumberFormat="1" applyFont="1"/>
    <xf numFmtId="2" fontId="11" fillId="52" borderId="0" xfId="0" applyNumberFormat="1" applyFont="1" applyFill="1"/>
    <xf numFmtId="1" fontId="11" fillId="52" borderId="0" xfId="0" applyNumberFormat="1" applyFont="1" applyFill="1"/>
    <xf numFmtId="0" fontId="25" fillId="0" borderId="0" xfId="0" applyFont="1"/>
    <xf numFmtId="0" fontId="26" fillId="0" borderId="0" xfId="0" applyFont="1"/>
    <xf numFmtId="174" fontId="0" fillId="0" borderId="0" xfId="0" applyNumberFormat="1"/>
    <xf numFmtId="175" fontId="0" fillId="0" borderId="0" xfId="0" applyNumberFormat="1"/>
    <xf numFmtId="0" fontId="27" fillId="0" borderId="0" xfId="0" applyFont="1"/>
    <xf numFmtId="165" fontId="20" fillId="52" borderId="0" xfId="0" applyNumberFormat="1" applyFont="1" applyFill="1"/>
    <xf numFmtId="0" fontId="0" fillId="52" borderId="0" xfId="0" applyFill="1"/>
    <xf numFmtId="165" fontId="0" fillId="52" borderId="0" xfId="0" applyNumberFormat="1" applyFill="1"/>
    <xf numFmtId="174" fontId="0" fillId="52" borderId="0" xfId="0" applyNumberFormat="1" applyFill="1"/>
    <xf numFmtId="175" fontId="0" fillId="52" borderId="0" xfId="0" applyNumberFormat="1" applyFill="1"/>
    <xf numFmtId="0" fontId="28" fillId="52" borderId="0" xfId="0" applyFont="1" applyFill="1"/>
    <xf numFmtId="0" fontId="29" fillId="0" borderId="0" xfId="0" applyFont="1"/>
    <xf numFmtId="167" fontId="20" fillId="0" borderId="0" xfId="0" applyNumberFormat="1" applyFont="1"/>
    <xf numFmtId="0" fontId="30" fillId="0" borderId="0" xfId="0" applyFont="1"/>
    <xf numFmtId="0" fontId="31" fillId="0" borderId="0" xfId="0" applyFont="1"/>
    <xf numFmtId="0" fontId="33" fillId="0" borderId="0" xfId="0" applyFont="1"/>
    <xf numFmtId="0" fontId="21" fillId="53" borderId="0" xfId="0" applyFont="1" applyFill="1"/>
    <xf numFmtId="0" fontId="34" fillId="0" borderId="0" xfId="0" applyFont="1"/>
    <xf numFmtId="0" fontId="36" fillId="0" borderId="0" xfId="0" applyFont="1"/>
    <xf numFmtId="0" fontId="20" fillId="53" borderId="0" xfId="0" applyFont="1" applyFill="1"/>
    <xf numFmtId="164" fontId="20" fillId="53" borderId="0" xfId="0" applyNumberFormat="1" applyFont="1" applyFill="1"/>
    <xf numFmtId="0" fontId="11" fillId="0" borderId="49" xfId="0" applyFont="1" applyBorder="1"/>
    <xf numFmtId="0" fontId="0" fillId="0" borderId="49" xfId="0" applyBorder="1"/>
    <xf numFmtId="0" fontId="0" fillId="0" borderId="50" xfId="0" applyBorder="1"/>
    <xf numFmtId="2" fontId="0" fillId="0" borderId="50" xfId="0" applyNumberFormat="1" applyBorder="1"/>
    <xf numFmtId="164" fontId="20" fillId="53" borderId="50" xfId="0" applyNumberFormat="1" applyFont="1" applyFill="1" applyBorder="1"/>
    <xf numFmtId="176" fontId="0" fillId="0" borderId="50" xfId="0" applyNumberFormat="1" applyBorder="1"/>
    <xf numFmtId="0" fontId="0" fillId="0" borderId="51" xfId="0" applyBorder="1"/>
    <xf numFmtId="2" fontId="0" fillId="0" borderId="51" xfId="0" applyNumberFormat="1" applyBorder="1"/>
    <xf numFmtId="164" fontId="20" fillId="53" borderId="51" xfId="0" applyNumberFormat="1" applyFont="1" applyFill="1" applyBorder="1"/>
    <xf numFmtId="176" fontId="0" fillId="0" borderId="51" xfId="0" applyNumberFormat="1" applyBorder="1"/>
    <xf numFmtId="0" fontId="9" fillId="54" borderId="53" xfId="0" applyFont="1" applyFill="1" applyBorder="1"/>
    <xf numFmtId="0" fontId="9" fillId="54" borderId="54" xfId="0" applyFont="1" applyFill="1" applyBorder="1"/>
    <xf numFmtId="0" fontId="11" fillId="0" borderId="55" xfId="0" applyFont="1" applyBorder="1"/>
    <xf numFmtId="0" fontId="11" fillId="0" borderId="56" xfId="0" applyFont="1" applyBorder="1"/>
    <xf numFmtId="0" fontId="9" fillId="54" borderId="57" xfId="0" applyFont="1" applyFill="1" applyBorder="1"/>
    <xf numFmtId="0" fontId="0" fillId="0" borderId="58" xfId="0" applyBorder="1"/>
    <xf numFmtId="0" fontId="0" fillId="0" borderId="59" xfId="0" applyBorder="1"/>
    <xf numFmtId="0" fontId="21" fillId="53" borderId="49" xfId="0" applyFont="1" applyFill="1" applyBorder="1"/>
    <xf numFmtId="164" fontId="21" fillId="53" borderId="49" xfId="0" applyNumberFormat="1" applyFont="1" applyFill="1" applyBorder="1"/>
    <xf numFmtId="1" fontId="21" fillId="53" borderId="49" xfId="0" applyNumberFormat="1" applyFont="1" applyFill="1" applyBorder="1"/>
    <xf numFmtId="0" fontId="33" fillId="0" borderId="49" xfId="0" applyFont="1" applyBorder="1"/>
    <xf numFmtId="2" fontId="11" fillId="0" borderId="49" xfId="0" applyNumberFormat="1" applyFont="1" applyBorder="1"/>
    <xf numFmtId="0" fontId="35" fillId="0" borderId="49" xfId="0" applyFont="1" applyBorder="1"/>
    <xf numFmtId="176" fontId="35" fillId="0" borderId="49" xfId="0" applyNumberFormat="1" applyFont="1" applyBorder="1"/>
    <xf numFmtId="177" fontId="11" fillId="0" borderId="49" xfId="0" applyNumberFormat="1" applyFont="1" applyBorder="1"/>
    <xf numFmtId="0" fontId="11" fillId="0" borderId="52" xfId="0" applyFont="1" applyBorder="1"/>
    <xf numFmtId="0" fontId="33" fillId="0" borderId="60" xfId="0" applyFont="1" applyBorder="1"/>
    <xf numFmtId="0" fontId="0" fillId="0" borderId="60" xfId="0" applyBorder="1"/>
    <xf numFmtId="0" fontId="11" fillId="55" borderId="0" xfId="0" applyFont="1" applyFill="1"/>
    <xf numFmtId="0" fontId="0" fillId="55" borderId="0" xfId="0" applyFill="1"/>
    <xf numFmtId="165" fontId="20" fillId="53" borderId="0" xfId="0" applyNumberFormat="1" applyFont="1" applyFill="1"/>
    <xf numFmtId="0" fontId="37" fillId="0" borderId="0" xfId="0" applyFont="1"/>
    <xf numFmtId="0" fontId="38" fillId="0" borderId="0" xfId="0" applyFont="1"/>
    <xf numFmtId="0" fontId="25" fillId="56" borderId="0" xfId="0" applyFont="1" applyFill="1"/>
    <xf numFmtId="0" fontId="25" fillId="49" borderId="0" xfId="0" applyFont="1" applyFill="1"/>
    <xf numFmtId="0" fontId="25" fillId="53" borderId="0" xfId="0" applyFont="1" applyFill="1"/>
    <xf numFmtId="0" fontId="25" fillId="48" borderId="0" xfId="0" applyFont="1" applyFill="1"/>
    <xf numFmtId="0" fontId="25" fillId="57" borderId="0" xfId="0" applyFont="1" applyFill="1"/>
    <xf numFmtId="0" fontId="11" fillId="58" borderId="0" xfId="0" applyFont="1" applyFill="1"/>
    <xf numFmtId="0" fontId="0" fillId="58" borderId="0" xfId="0" applyFill="1"/>
    <xf numFmtId="0" fontId="0" fillId="56" borderId="0" xfId="0" applyFill="1"/>
    <xf numFmtId="0" fontId="11" fillId="56" borderId="0" xfId="0" applyFont="1" applyFill="1"/>
    <xf numFmtId="0" fontId="0" fillId="53" borderId="0" xfId="0" applyFill="1"/>
    <xf numFmtId="0" fontId="11" fillId="53" borderId="0" xfId="0" applyFont="1" applyFill="1"/>
    <xf numFmtId="0" fontId="0" fillId="57" borderId="0" xfId="0" applyFill="1"/>
    <xf numFmtId="0" fontId="0" fillId="59" borderId="0" xfId="0" applyFill="1" applyAlignment="1">
      <alignment horizontal="center"/>
    </xf>
    <xf numFmtId="165" fontId="20" fillId="60" borderId="0" xfId="0" applyNumberFormat="1" applyFont="1" applyFill="1"/>
    <xf numFmtId="165" fontId="0" fillId="48" borderId="0" xfId="0" applyNumberFormat="1" applyFill="1"/>
    <xf numFmtId="0" fontId="25" fillId="61" borderId="0" xfId="0" applyFont="1" applyFill="1"/>
    <xf numFmtId="0" fontId="25" fillId="62" borderId="0" xfId="0" applyFont="1" applyFill="1"/>
    <xf numFmtId="0" fontId="25" fillId="63" borderId="0" xfId="0" applyFont="1" applyFill="1"/>
    <xf numFmtId="0" fontId="25" fillId="64" borderId="0" xfId="0" applyFont="1" applyFill="1"/>
    <xf numFmtId="0" fontId="40" fillId="0" borderId="0" xfId="0" applyFont="1"/>
    <xf numFmtId="0" fontId="42" fillId="0" borderId="0" xfId="0" applyFont="1"/>
    <xf numFmtId="0" fontId="44" fillId="0" borderId="0" xfId="0" applyFont="1"/>
    <xf numFmtId="0" fontId="11" fillId="59" borderId="0" xfId="0" applyFont="1" applyFill="1" applyAlignment="1">
      <alignment horizontal="center"/>
    </xf>
    <xf numFmtId="165" fontId="0" fillId="56" borderId="0" xfId="0" applyNumberFormat="1" applyFill="1"/>
    <xf numFmtId="164" fontId="0" fillId="56" borderId="0" xfId="0" applyNumberFormat="1" applyFill="1"/>
    <xf numFmtId="164" fontId="0" fillId="49" borderId="0" xfId="0" applyNumberFormat="1" applyFill="1"/>
    <xf numFmtId="165" fontId="0" fillId="49" borderId="0" xfId="0" applyNumberFormat="1" applyFill="1"/>
    <xf numFmtId="0" fontId="0" fillId="0" borderId="0" xfId="0" applyAlignment="1">
      <alignment horizontal="center"/>
    </xf>
    <xf numFmtId="0" fontId="32" fillId="53" borderId="0" xfId="0" applyFont="1" applyFill="1" applyAlignment="1">
      <alignment horizontal="center"/>
    </xf>
    <xf numFmtId="0" fontId="39" fillId="53" borderId="0" xfId="0" applyFont="1" applyFill="1" applyAlignment="1">
      <alignment horizontal="center"/>
    </xf>
    <xf numFmtId="0" fontId="41" fillId="53" borderId="0" xfId="0" applyFont="1" applyFill="1" applyAlignment="1">
      <alignment horizontal="center"/>
    </xf>
    <xf numFmtId="0" fontId="43" fillId="53" borderId="0" xfId="0" applyFont="1" applyFill="1" applyAlignment="1">
      <alignment horizontal="center"/>
    </xf>
    <xf numFmtId="165" fontId="0" fillId="65" borderId="0" xfId="0" applyNumberFormat="1" applyFill="1"/>
    <xf numFmtId="0" fontId="0" fillId="62" borderId="0" xfId="0" applyFill="1"/>
    <xf numFmtId="0" fontId="36" fillId="45" borderId="0" xfId="0" applyFont="1" applyFill="1"/>
    <xf numFmtId="0" fontId="11" fillId="0" borderId="0" xfId="0" applyFont="1" applyAlignment="1">
      <alignment horizontal="center"/>
    </xf>
    <xf numFmtId="0" fontId="11" fillId="66" borderId="0" xfId="0" applyFont="1" applyFill="1" applyAlignment="1">
      <alignment horizontal="center"/>
    </xf>
    <xf numFmtId="0" fontId="0" fillId="66" borderId="0" xfId="0" applyFill="1" applyAlignment="1">
      <alignment horizontal="center"/>
    </xf>
    <xf numFmtId="164" fontId="20" fillId="0" borderId="0" xfId="0" applyNumberFormat="1" applyFont="1"/>
    <xf numFmtId="0" fontId="33" fillId="66" borderId="0" xfId="0" applyFont="1" applyFill="1"/>
    <xf numFmtId="0" fontId="45" fillId="66" borderId="0" xfId="0" applyFont="1" applyFill="1"/>
    <xf numFmtId="0" fontId="25" fillId="67" borderId="0" xfId="0" applyFont="1" applyFill="1"/>
    <xf numFmtId="0" fontId="46" fillId="0" borderId="0" xfId="0" applyFont="1"/>
    <xf numFmtId="165" fontId="0" fillId="67" borderId="0" xfId="0" applyNumberFormat="1" applyFill="1"/>
    <xf numFmtId="0" fontId="0" fillId="67" borderId="0" xfId="0" applyFill="1"/>
    <xf numFmtId="0" fontId="47" fillId="67" borderId="0" xfId="0" applyFont="1" applyFill="1"/>
    <xf numFmtId="165" fontId="0" fillId="61" borderId="0" xfId="0" applyNumberFormat="1" applyFill="1"/>
    <xf numFmtId="0" fontId="0" fillId="61" borderId="0" xfId="0" applyFill="1"/>
    <xf numFmtId="0" fontId="47" fillId="61" borderId="0" xfId="0" applyFont="1" applyFill="1"/>
    <xf numFmtId="167" fontId="0" fillId="0" borderId="0" xfId="0" applyNumberFormat="1"/>
    <xf numFmtId="167" fontId="0" fillId="57" borderId="0" xfId="0" applyNumberFormat="1" applyFill="1"/>
    <xf numFmtId="165" fontId="0" fillId="57" borderId="0" xfId="0" applyNumberFormat="1" applyFill="1"/>
    <xf numFmtId="178" fontId="0" fillId="57" borderId="0" xfId="0" applyNumberFormat="1" applyFill="1"/>
    <xf numFmtId="0" fontId="11" fillId="68" borderId="0" xfId="0" applyFont="1" applyFill="1"/>
    <xf numFmtId="0" fontId="11" fillId="69" borderId="0" xfId="0" applyFont="1" applyFill="1"/>
    <xf numFmtId="0" fontId="46" fillId="59" borderId="0" xfId="0" applyFont="1" applyFill="1" applyAlignment="1">
      <alignment horizontal="center"/>
    </xf>
    <xf numFmtId="0" fontId="47" fillId="0" borderId="0" xfId="0" applyFont="1"/>
    <xf numFmtId="0" fontId="0" fillId="68" borderId="0" xfId="0" applyFill="1"/>
    <xf numFmtId="165" fontId="0" fillId="68" borderId="0" xfId="0" applyNumberFormat="1" applyFill="1"/>
    <xf numFmtId="0" fontId="0" fillId="69" borderId="0" xfId="0" applyFill="1"/>
    <xf numFmtId="165" fontId="0" fillId="69" borderId="0" xfId="0" applyNumberFormat="1" applyFill="1"/>
    <xf numFmtId="0" fontId="35" fillId="67" borderId="0" xfId="0" applyFont="1" applyFill="1"/>
    <xf numFmtId="0" fontId="48" fillId="0" borderId="0" xfId="0" applyFont="1"/>
    <xf numFmtId="3" fontId="0" fillId="0" borderId="0" xfId="0" applyNumberFormat="1"/>
    <xf numFmtId="0" fontId="35" fillId="57" borderId="0" xfId="0" applyFont="1" applyFill="1"/>
    <xf numFmtId="0" fontId="49" fillId="49" borderId="0" xfId="0" applyFont="1" applyFill="1"/>
    <xf numFmtId="2" fontId="0" fillId="52" borderId="0" xfId="0" applyNumberFormat="1" applyFill="1"/>
    <xf numFmtId="164" fontId="0" fillId="52" borderId="0" xfId="0" applyNumberFormat="1" applyFill="1"/>
    <xf numFmtId="0" fontId="35" fillId="62" borderId="0" xfId="0" applyFont="1" applyFill="1"/>
    <xf numFmtId="0" fontId="35" fillId="64" borderId="0" xfId="0" applyFont="1" applyFill="1"/>
    <xf numFmtId="0" fontId="50" fillId="0" borderId="0" xfId="0" applyFont="1"/>
    <xf numFmtId="0" fontId="11" fillId="49" borderId="0" xfId="0" applyFont="1" applyFill="1" applyAlignment="1">
      <alignment wrapText="1"/>
    </xf>
    <xf numFmtId="0" fontId="49" fillId="49" borderId="0" xfId="0" applyFont="1" applyFill="1" applyAlignment="1">
      <alignment wrapText="1"/>
    </xf>
    <xf numFmtId="0" fontId="0" fillId="0" borderId="0" xfId="0" applyAlignment="1">
      <alignment wrapText="1"/>
    </xf>
    <xf numFmtId="0" fontId="11" fillId="48" borderId="0" xfId="0" applyFont="1" applyFill="1" applyAlignment="1">
      <alignment wrapText="1"/>
    </xf>
    <xf numFmtId="0" fontId="0" fillId="0" borderId="0" xfId="0" applyAlignment="1">
      <alignment horizontal="center" wrapText="1"/>
    </xf>
    <xf numFmtId="1" fontId="0" fillId="52" borderId="0" xfId="0" applyNumberFormat="1" applyFill="1"/>
    <xf numFmtId="0" fontId="11" fillId="0" borderId="0" xfId="0" applyFont="1" applyAlignment="1">
      <alignment wrapText="1"/>
    </xf>
    <xf numFmtId="2" fontId="0" fillId="0" borderId="0" xfId="0" applyNumberFormat="1" applyAlignment="1">
      <alignment horizontal="center"/>
    </xf>
    <xf numFmtId="164" fontId="0" fillId="0" borderId="0" xfId="0" applyNumberFormat="1" applyAlignment="1">
      <alignment horizontal="center"/>
    </xf>
    <xf numFmtId="3" fontId="20" fillId="53" borderId="0" xfId="0" applyNumberFormat="1" applyFont="1" applyFill="1"/>
    <xf numFmtId="0" fontId="11" fillId="67" borderId="0" xfId="0" applyFont="1" applyFill="1" applyAlignment="1">
      <alignment horizontal="center"/>
    </xf>
    <xf numFmtId="0" fontId="11" fillId="53" borderId="0" xfId="0" applyFont="1" applyFill="1" applyAlignment="1">
      <alignment horizontal="center"/>
    </xf>
    <xf numFmtId="0" fontId="11" fillId="70" borderId="0" xfId="0" applyFont="1" applyFill="1"/>
    <xf numFmtId="0" fontId="11" fillId="70" borderId="0" xfId="0" applyFont="1" applyFill="1" applyAlignment="1">
      <alignment horizontal="center"/>
    </xf>
    <xf numFmtId="0" fontId="51" fillId="48" borderId="0" xfId="0" applyFont="1" applyFill="1"/>
    <xf numFmtId="0" fontId="51" fillId="53" borderId="0" xfId="0" applyFont="1" applyFill="1"/>
    <xf numFmtId="0" fontId="51" fillId="70" borderId="0" xfId="0" applyFont="1" applyFill="1"/>
    <xf numFmtId="165" fontId="0" fillId="53" borderId="0" xfId="0" applyNumberFormat="1" applyFill="1"/>
    <xf numFmtId="0" fontId="0" fillId="70" borderId="0" xfId="0" applyFill="1"/>
    <xf numFmtId="0" fontId="37" fillId="0" borderId="0" xfId="0" quotePrefix="1" applyFont="1"/>
    <xf numFmtId="0" fontId="38" fillId="0" borderId="0" xfId="0" quotePrefix="1" applyFont="1"/>
    <xf numFmtId="0" fontId="52" fillId="0" borderId="0" xfId="0" applyFont="1"/>
    <xf numFmtId="0" fontId="35" fillId="48" borderId="0" xfId="0" applyFont="1" applyFill="1"/>
    <xf numFmtId="0" fontId="53" fillId="0" borderId="0" xfId="0" applyFont="1"/>
    <xf numFmtId="168" fontId="0" fillId="0" borderId="0" xfId="0" applyNumberFormat="1"/>
    <xf numFmtId="16" fontId="0" fillId="0" borderId="0" xfId="0" applyNumberFormat="1"/>
    <xf numFmtId="16" fontId="20" fillId="53" borderId="0" xfId="0" applyNumberFormat="1" applyFont="1" applyFill="1"/>
    <xf numFmtId="168" fontId="11" fillId="0" borderId="0" xfId="0" applyNumberFormat="1" applyFont="1"/>
    <xf numFmtId="0" fontId="11" fillId="57" borderId="0" xfId="0" applyFont="1" applyFill="1"/>
    <xf numFmtId="0" fontId="35" fillId="53" borderId="0" xfId="0" applyFont="1" applyFill="1"/>
    <xf numFmtId="0" fontId="11" fillId="65" borderId="0" xfId="0" applyFont="1" applyFill="1"/>
    <xf numFmtId="178" fontId="20" fillId="53" borderId="0" xfId="0" applyNumberFormat="1" applyFont="1" applyFill="1"/>
    <xf numFmtId="179" fontId="0" fillId="0" borderId="0" xfId="0" applyNumberFormat="1"/>
    <xf numFmtId="0" fontId="54" fillId="0" borderId="0" xfId="0" applyFont="1"/>
    <xf numFmtId="0" fontId="55" fillId="0" borderId="0" xfId="0" applyFont="1"/>
    <xf numFmtId="167" fontId="0" fillId="52" borderId="0" xfId="0" applyNumberFormat="1" applyFill="1"/>
    <xf numFmtId="179" fontId="0" fillId="52" borderId="0" xfId="0" applyNumberFormat="1" applyFill="1"/>
    <xf numFmtId="164" fontId="11" fillId="0" borderId="0" xfId="0" applyNumberFormat="1" applyFont="1"/>
    <xf numFmtId="0" fontId="56" fillId="0" borderId="0" xfId="0" applyFont="1"/>
    <xf numFmtId="0" fontId="35" fillId="61" borderId="0" xfId="0" applyFont="1" applyFill="1"/>
    <xf numFmtId="180" fontId="0" fillId="0" borderId="0" xfId="0" applyNumberFormat="1"/>
    <xf numFmtId="181" fontId="0" fillId="0" borderId="0" xfId="0" applyNumberFormat="1"/>
    <xf numFmtId="0" fontId="59" fillId="0" borderId="0" xfId="0" applyFont="1"/>
    <xf numFmtId="0" fontId="11" fillId="61" borderId="0" xfId="0" applyFont="1" applyFill="1"/>
    <xf numFmtId="0" fontId="21" fillId="49" borderId="0" xfId="0" applyFont="1" applyFill="1"/>
    <xf numFmtId="2" fontId="20" fillId="53" borderId="0" xfId="0" applyNumberFormat="1" applyFont="1" applyFill="1"/>
    <xf numFmtId="0" fontId="60" fillId="0" borderId="0" xfId="0" applyFont="1"/>
    <xf numFmtId="0" fontId="61" fillId="0" borderId="0" xfId="0" applyFont="1"/>
    <xf numFmtId="0" fontId="35" fillId="49" borderId="0" xfId="0" applyFont="1" applyFill="1"/>
    <xf numFmtId="0" fontId="62" fillId="0" borderId="0" xfId="0" applyFont="1"/>
    <xf numFmtId="0" fontId="11" fillId="49" borderId="0" xfId="0" quotePrefix="1" applyFont="1" applyFill="1"/>
    <xf numFmtId="0" fontId="11" fillId="71" borderId="0" xfId="0" applyFont="1" applyFill="1"/>
    <xf numFmtId="0" fontId="11" fillId="72" borderId="0" xfId="0" applyFont="1" applyFill="1"/>
    <xf numFmtId="0" fontId="11" fillId="73" borderId="0" xfId="0" applyFont="1" applyFill="1"/>
    <xf numFmtId="2" fontId="0" fillId="62" borderId="0" xfId="0" applyNumberFormat="1" applyFill="1"/>
    <xf numFmtId="2" fontId="0" fillId="49" borderId="0" xfId="0" applyNumberFormat="1" applyFill="1"/>
    <xf numFmtId="165" fontId="11" fillId="0" borderId="0" xfId="0" applyNumberFormat="1" applyFont="1"/>
    <xf numFmtId="2" fontId="11" fillId="62" borderId="0" xfId="0" applyNumberFormat="1" applyFont="1" applyFill="1"/>
    <xf numFmtId="2" fontId="11" fillId="49" borderId="0" xfId="0" applyNumberFormat="1" applyFont="1" applyFill="1"/>
    <xf numFmtId="2" fontId="0" fillId="56" borderId="0" xfId="0" applyNumberFormat="1" applyFill="1"/>
    <xf numFmtId="164" fontId="20" fillId="49" borderId="0" xfId="0" applyNumberFormat="1" applyFont="1" applyFill="1"/>
    <xf numFmtId="2" fontId="0" fillId="53" borderId="0" xfId="0" applyNumberFormat="1" applyFill="1"/>
    <xf numFmtId="0" fontId="63" fillId="0" borderId="0" xfId="0" applyFont="1"/>
    <xf numFmtId="0" fontId="64" fillId="0" borderId="0" xfId="0" applyFont="1"/>
    <xf numFmtId="0" fontId="65" fillId="0" borderId="0" xfId="0" applyFont="1"/>
    <xf numFmtId="0" fontId="66" fillId="46" borderId="0" xfId="0" applyFont="1" applyFill="1"/>
    <xf numFmtId="0" fontId="0" fillId="46" borderId="0" xfId="0" applyFill="1"/>
    <xf numFmtId="1" fontId="20" fillId="53" borderId="0" xfId="0" applyNumberFormat="1" applyFont="1" applyFill="1"/>
    <xf numFmtId="0" fontId="66" fillId="74" borderId="0" xfId="0" applyFont="1" applyFill="1"/>
    <xf numFmtId="0" fontId="0" fillId="74" borderId="0" xfId="0" applyFill="1"/>
    <xf numFmtId="0" fontId="67" fillId="0" borderId="0" xfId="0" applyFont="1"/>
    <xf numFmtId="164" fontId="67" fillId="0" borderId="0" xfId="0" applyNumberFormat="1" applyFont="1"/>
    <xf numFmtId="1" fontId="11" fillId="0" borderId="0" xfId="0" applyNumberFormat="1" applyFont="1"/>
    <xf numFmtId="0" fontId="66" fillId="75" borderId="0" xfId="0" applyFont="1" applyFill="1"/>
    <xf numFmtId="0" fontId="0" fillId="75" borderId="0" xfId="0" applyFill="1"/>
    <xf numFmtId="0" fontId="66" fillId="76" borderId="0" xfId="0" applyFont="1" applyFill="1"/>
    <xf numFmtId="0" fontId="0" fillId="76" borderId="0" xfId="0" applyFill="1"/>
    <xf numFmtId="0" fontId="66" fillId="77" borderId="0" xfId="0" applyFont="1" applyFill="1"/>
    <xf numFmtId="0" fontId="0" fillId="77" borderId="0" xfId="0" applyFill="1"/>
    <xf numFmtId="0" fontId="66" fillId="78" borderId="0" xfId="0" applyFont="1" applyFill="1"/>
    <xf numFmtId="0" fontId="0" fillId="78" borderId="0" xfId="0" applyFill="1"/>
    <xf numFmtId="0" fontId="66" fillId="79" borderId="0" xfId="0" applyFont="1" applyFill="1"/>
    <xf numFmtId="0" fontId="0" fillId="79" borderId="0" xfId="0" applyFill="1"/>
    <xf numFmtId="0" fontId="35" fillId="0" borderId="0" xfId="0" applyFont="1"/>
    <xf numFmtId="0" fontId="35" fillId="80" borderId="0" xfId="0" applyFont="1" applyFill="1"/>
    <xf numFmtId="179" fontId="68" fillId="49" borderId="0" xfId="0" applyNumberFormat="1" applyFont="1" applyFill="1"/>
    <xf numFmtId="0" fontId="69" fillId="0" borderId="0" xfId="0" applyFont="1"/>
    <xf numFmtId="0" fontId="71" fillId="47" borderId="0" xfId="0" applyFont="1" applyFill="1"/>
    <xf numFmtId="0" fontId="70" fillId="0" borderId="0" xfId="0" applyFont="1"/>
    <xf numFmtId="0" fontId="0" fillId="0" borderId="0" xfId="0" quotePrefix="1"/>
    <xf numFmtId="0" fontId="72" fillId="0" borderId="0" xfId="0" applyFont="1"/>
    <xf numFmtId="179" fontId="73" fillId="49" borderId="0" xfId="0" applyNumberFormat="1" applyFont="1" applyFill="1"/>
    <xf numFmtId="0" fontId="74" fillId="0" borderId="0" xfId="0" applyFont="1"/>
    <xf numFmtId="0" fontId="75" fillId="0" borderId="0" xfId="0" applyFont="1"/>
    <xf numFmtId="0" fontId="66" fillId="81" borderId="0" xfId="0" applyFont="1" applyFill="1"/>
    <xf numFmtId="0" fontId="0" fillId="81" borderId="0" xfId="0" applyFill="1"/>
    <xf numFmtId="14" fontId="0" fillId="0" borderId="0" xfId="0" applyNumberFormat="1"/>
    <xf numFmtId="20" fontId="0" fillId="0" borderId="0" xfId="0" applyNumberFormat="1"/>
    <xf numFmtId="0" fontId="11" fillId="82" borderId="0" xfId="0" applyFont="1" applyFill="1"/>
    <xf numFmtId="3" fontId="21" fillId="53" borderId="0" xfId="0" applyNumberFormat="1" applyFont="1" applyFill="1"/>
    <xf numFmtId="0" fontId="76" fillId="0" borderId="0" xfId="0" applyFont="1"/>
    <xf numFmtId="182" fontId="0" fillId="0" borderId="0" xfId="0" applyNumberFormat="1"/>
    <xf numFmtId="183" fontId="0" fillId="0" borderId="0" xfId="0" applyNumberFormat="1"/>
    <xf numFmtId="0" fontId="24" fillId="83" borderId="0" xfId="0" applyFont="1" applyFill="1"/>
    <xf numFmtId="0" fontId="35" fillId="63" borderId="0" xfId="0" applyFont="1" applyFill="1"/>
    <xf numFmtId="11" fontId="20" fillId="53" borderId="0" xfId="0" applyNumberFormat="1" applyFont="1" applyFill="1"/>
    <xf numFmtId="178" fontId="0" fillId="0" borderId="0" xfId="0" applyNumberFormat="1"/>
    <xf numFmtId="184" fontId="0" fillId="0" borderId="0" xfId="0" applyNumberFormat="1"/>
    <xf numFmtId="185" fontId="0" fillId="0" borderId="0" xfId="0" applyNumberFormat="1"/>
    <xf numFmtId="167" fontId="20" fillId="53" borderId="0" xfId="0" applyNumberFormat="1" applyFont="1" applyFill="1"/>
    <xf numFmtId="0" fontId="35" fillId="84" borderId="0" xfId="0" applyFont="1" applyFill="1"/>
    <xf numFmtId="0" fontId="66" fillId="85" borderId="0" xfId="0" applyFont="1" applyFill="1"/>
    <xf numFmtId="0" fontId="0" fillId="85" borderId="0" xfId="0" applyFill="1"/>
    <xf numFmtId="9" fontId="20" fillId="53" borderId="0" xfId="0" applyNumberFormat="1" applyFont="1" applyFill="1"/>
    <xf numFmtId="0" fontId="66" fillId="54" borderId="0" xfId="0" applyFont="1" applyFill="1"/>
    <xf numFmtId="0" fontId="0" fillId="54" borderId="0" xfId="0" applyFill="1"/>
    <xf numFmtId="0" fontId="77" fillId="46" borderId="0" xfId="0" applyFont="1" applyFill="1"/>
    <xf numFmtId="0" fontId="71" fillId="0" borderId="0" xfId="0" applyFont="1"/>
    <xf numFmtId="0" fontId="71" fillId="49" borderId="0" xfId="0" applyFont="1" applyFill="1"/>
    <xf numFmtId="0" fontId="77" fillId="74" borderId="0" xfId="0" applyFont="1" applyFill="1"/>
    <xf numFmtId="0" fontId="71" fillId="48" borderId="0" xfId="0" applyFont="1" applyFill="1"/>
    <xf numFmtId="0" fontId="78" fillId="0" borderId="0" xfId="0" applyFont="1"/>
    <xf numFmtId="0" fontId="79" fillId="0" borderId="0" xfId="0" applyFont="1"/>
    <xf numFmtId="49" fontId="21" fillId="47" borderId="0" xfId="0" applyNumberFormat="1" applyFont="1" applyFill="1"/>
    <xf numFmtId="0" fontId="66" fillId="86" borderId="0" xfId="0" applyFont="1" applyFill="1"/>
    <xf numFmtId="0" fontId="0" fillId="86" borderId="0" xfId="0" applyFill="1"/>
    <xf numFmtId="0" fontId="0" fillId="84" borderId="0" xfId="0" applyFill="1"/>
    <xf numFmtId="3" fontId="0" fillId="84" borderId="0" xfId="0" applyNumberFormat="1" applyFill="1"/>
    <xf numFmtId="0" fontId="80" fillId="0" borderId="0" xfId="0" applyFont="1"/>
    <xf numFmtId="0" fontId="81" fillId="0" borderId="0" xfId="0" applyFont="1"/>
    <xf numFmtId="0" fontId="82" fillId="0" borderId="0" xfId="0" applyFont="1"/>
    <xf numFmtId="0" fontId="83" fillId="0" borderId="0" xfId="0" applyFont="1"/>
    <xf numFmtId="0" fontId="84" fillId="77" borderId="0" xfId="0" applyFont="1" applyFill="1"/>
    <xf numFmtId="0" fontId="2" fillId="2" borderId="8" xfId="0" applyFont="1" applyFill="1" applyBorder="1" applyAlignment="1">
      <alignment horizontal="center" vertical="center" wrapText="1"/>
    </xf>
    <xf numFmtId="0" fontId="4" fillId="0" borderId="9" xfId="0" applyFont="1" applyBorder="1"/>
    <xf numFmtId="0" fontId="4" fillId="0" borderId="10" xfId="0" applyFont="1" applyBorder="1"/>
    <xf numFmtId="0" fontId="4" fillId="3" borderId="0" xfId="0" applyFont="1" applyFill="1" applyAlignment="1">
      <alignment horizontal="left"/>
    </xf>
    <xf numFmtId="0" fontId="0" fillId="0" borderId="0" xfId="0"/>
    <xf numFmtId="0" fontId="2" fillId="9" borderId="8" xfId="0" applyFont="1" applyFill="1" applyBorder="1" applyAlignment="1">
      <alignment vertical="center" wrapText="1"/>
    </xf>
    <xf numFmtId="2" fontId="2" fillId="3" borderId="0" xfId="0" applyNumberFormat="1" applyFont="1" applyFill="1" applyAlignment="1">
      <alignment horizontal="left" vertical="center" wrapText="1"/>
    </xf>
    <xf numFmtId="2" fontId="2" fillId="3" borderId="0" xfId="0" applyNumberFormat="1" applyFont="1" applyFill="1" applyAlignment="1">
      <alignment horizontal="left" vertical="center"/>
    </xf>
    <xf numFmtId="0" fontId="2" fillId="2" borderId="8" xfId="0" applyFont="1" applyFill="1" applyBorder="1" applyAlignment="1">
      <alignment vertical="center" wrapText="1"/>
    </xf>
    <xf numFmtId="0" fontId="4" fillId="0" borderId="0" xfId="0" applyFont="1" applyAlignment="1">
      <alignment vertical="center" wrapText="1"/>
    </xf>
    <xf numFmtId="0" fontId="2" fillId="28" borderId="8" xfId="0" applyFont="1" applyFill="1" applyBorder="1" applyAlignment="1">
      <alignment horizontal="center" vertical="center" wrapText="1"/>
    </xf>
    <xf numFmtId="49" fontId="11" fillId="3" borderId="21" xfId="0" applyNumberFormat="1" applyFont="1" applyFill="1" applyBorder="1" applyAlignment="1">
      <alignment horizontal="center"/>
    </xf>
    <xf numFmtId="0" fontId="4" fillId="0" borderId="22" xfId="0" applyFont="1" applyBorder="1"/>
    <xf numFmtId="0" fontId="4" fillId="0" borderId="23" xfId="0" applyFont="1" applyBorder="1"/>
    <xf numFmtId="49" fontId="11" fillId="38" borderId="25" xfId="0" applyNumberFormat="1" applyFont="1" applyFill="1" applyBorder="1" applyAlignment="1">
      <alignment horizontal="center"/>
    </xf>
    <xf numFmtId="0" fontId="4" fillId="0" borderId="26" xfId="0" applyFont="1" applyBorder="1"/>
    <xf numFmtId="49" fontId="11" fillId="38" borderId="25" xfId="0" applyNumberFormat="1" applyFont="1" applyFill="1" applyBorder="1"/>
    <xf numFmtId="0" fontId="35" fillId="62" borderId="0" xfId="0" applyFont="1" applyFill="1" applyAlignment="1">
      <alignment horizontal="center"/>
    </xf>
    <xf numFmtId="0" fontId="35" fillId="64" borderId="0" xfId="0" applyFont="1" applyFill="1" applyAlignment="1">
      <alignment horizontal="center"/>
    </xf>
    <xf numFmtId="0" fontId="35" fillId="64" borderId="0" xfId="0" applyFont="1" applyFill="1" applyAlignment="1">
      <alignment horizontal="center" wrapText="1"/>
    </xf>
    <xf numFmtId="0" fontId="35" fillId="62" borderId="0" xfId="0" applyFont="1" applyFill="1" applyAlignment="1">
      <alignment horizontal="center" wrapText="1"/>
    </xf>
    <xf numFmtId="0" fontId="0" fillId="0" borderId="37" xfId="0" applyNumberFormat="1" applyBorder="1"/>
    <xf numFmtId="0" fontId="0" fillId="0" borderId="43" xfId="0" applyNumberFormat="1" applyBorder="1"/>
    <xf numFmtId="0" fontId="0" fillId="0" borderId="41" xfId="0" applyNumberFormat="1" applyBorder="1"/>
    <xf numFmtId="0" fontId="0" fillId="0" borderId="44" xfId="0" applyNumberFormat="1" applyBorder="1"/>
    <xf numFmtId="0" fontId="0" fillId="0" borderId="26" xfId="0" applyNumberFormat="1" applyBorder="1"/>
    <xf numFmtId="0" fontId="0" fillId="0" borderId="45" xfId="0" applyNumberFormat="1" applyBorder="1"/>
    <xf numFmtId="0" fontId="0" fillId="0" borderId="46" xfId="0" applyNumberFormat="1" applyBorder="1"/>
    <xf numFmtId="0" fontId="0" fillId="0" borderId="47" xfId="0" applyNumberFormat="1" applyBorder="1"/>
    <xf numFmtId="0" fontId="0" fillId="0" borderId="48" xfId="0" applyNumberFormat="1" applyBorder="1"/>
    <xf numFmtId="0" fontId="85" fillId="87" borderId="0" xfId="0" applyFont="1" applyFill="1"/>
    <xf numFmtId="0" fontId="85" fillId="87" borderId="26" xfId="1" applyFont="1" applyFill="1"/>
    <xf numFmtId="0" fontId="65" fillId="0" borderId="26" xfId="1" applyFont="1"/>
    <xf numFmtId="0" fontId="11" fillId="53" borderId="26" xfId="1" applyFont="1" applyFill="1"/>
    <xf numFmtId="0" fontId="19" fillId="0" borderId="26" xfId="1" quotePrefix="1"/>
    <xf numFmtId="0" fontId="85" fillId="88" borderId="0" xfId="0" applyFont="1" applyFill="1"/>
    <xf numFmtId="0" fontId="11" fillId="89" borderId="0" xfId="0" applyFont="1" applyFill="1"/>
    <xf numFmtId="0" fontId="85" fillId="88" borderId="26" xfId="1" applyFont="1" applyFill="1"/>
    <xf numFmtId="0" fontId="11" fillId="89" borderId="26" xfId="1" applyFont="1" applyFill="1"/>
    <xf numFmtId="0" fontId="86" fillId="0" borderId="0" xfId="0" applyFont="1"/>
    <xf numFmtId="0" fontId="87" fillId="53" borderId="0" xfId="0" applyFont="1" applyFill="1"/>
    <xf numFmtId="0" fontId="88" fillId="88" borderId="0" xfId="0" applyFont="1" applyFill="1"/>
    <xf numFmtId="0" fontId="86" fillId="0" borderId="0" xfId="0" quotePrefix="1" applyFont="1"/>
    <xf numFmtId="0" fontId="87" fillId="89" borderId="0" xfId="0" applyFont="1" applyFill="1"/>
  </cellXfs>
  <cellStyles count="2">
    <cellStyle name="Normal" xfId="0" builtinId="0"/>
    <cellStyle name="Normal 2" xfId="1" xr:uid="{30E8E005-B968-4A2B-A704-FB45B785B58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pivotCacheDefinition" Target="pivotCache/pivotCacheDefinition1.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eetMetadata" Target="metadata.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Tony Koop" refreshedDate="46143.985462037039" refreshedVersion="8" recordCount="114" xr:uid="{00000000-000A-0000-FFFF-FFFF00000000}">
  <cacheSource type="worksheet">
    <worksheetSource ref="A1:S115" sheet="CNC Flute Dimensions"/>
  </cacheSource>
  <cacheFields count="19">
    <cacheField name=" " numFmtId="0">
      <sharedItems containsBlank="1"/>
    </cacheField>
    <cacheField name=" 2" numFmtId="0">
      <sharedItems containsBlank="1"/>
    </cacheField>
    <cacheField name="Piano Key #" numFmtId="0">
      <sharedItems containsBlank="1" count="80">
        <s v="Fundamental/Base Note"/>
        <s v="Fundamental Frequency (Hertz)"/>
        <s v="Hole 1 Note"/>
        <s v="Hole 1 Frequency"/>
        <s v="Hole 2 Note"/>
        <s v="Hole 2 Frequency"/>
        <s v="Hole 3 Note"/>
        <s v="Hole 3 Frequency"/>
        <s v="Hole 4 Note"/>
        <s v="Hole 4 Frequency"/>
        <s v="Hole 5 Note"/>
        <s v="Hole 5 Frequency"/>
        <s v="Hole 6 Note"/>
        <s v="Hole 6 Frequency"/>
        <m/>
        <s v="Mouth Piece Length"/>
        <s v="Mouth Piece Diameter"/>
        <s v="Short Chamber Length"/>
        <s v="Spacing Length"/>
        <s v="Extra Length (to fit depth of chuck jaws)"/>
        <s v="Bore ID"/>
        <s v="Wall Thickness ~ Appx 1/3 of Bore ID"/>
        <s v="Flue Depth"/>
        <s v="Flue Width ~ Appx 1/2 of Bore ID or less"/>
        <s v="Sound Hole Length"/>
        <s v="Removed from Diameter by Turning"/>
        <s v="Hole 1 Diameter"/>
        <s v="Hole 2 Diameter"/>
        <s v="Hole 3 Diameter"/>
        <s v="Hole 4 Diameter"/>
        <s v="Hole 5 Diameter"/>
        <s v="Hole 6 Diameter"/>
        <s v="Hole 1 Distance from End"/>
        <s v="Hole 2 Distance from End"/>
        <s v="Hole 3 Distance from End"/>
        <s v="Hole 4 Distance from End"/>
        <s v="Hole 5 Distance from End"/>
        <s v="Hole 6 Distance from End"/>
        <s v="Blank Length = A+B+C+D"/>
        <s v="Blank Width = 2(2*K)+.125"/>
        <s v="Blank Thickness =(E/2)+L+(H/2)"/>
        <s v="Turned Diameter = E+2*L"/>
        <s v="Top Surface Area of Wood = I*J"/>
        <s v="Bd Ft of Wood =((I*J*K)/144)*2"/>
        <s v="Nest Distance from Mouthpiece"/>
        <s v="Sunken Nest Depth"/>
        <s v="Sunken Nest Width"/>
        <s v="Sunken Nest Length"/>
        <s v="Hole 1 Coordinate (y position after mouthpiece, short chamber &amp; spacing)"/>
        <s v="Hole 2 Coordinate"/>
        <s v="Hole 3 Coordinate"/>
        <s v="Hole 4 Coordinate"/>
        <s v="Hole 5 Coordinate"/>
        <s v="Hole 6 Coordinate"/>
        <s v="Distance between Hole 1 &amp; 2"/>
        <s v="Distance between Hole 2 &amp; 3"/>
        <s v="Distance between Hole 3 &amp; 4"/>
        <s v="Distance between Hole 4 &amp; 5"/>
        <s v="Distance between Hole 5 &amp; 6"/>
        <s v="Acoustic Length (speed of sound =13552 inches per second)"/>
        <s v="K1 @ Foot End"/>
        <s v="K2 calculation= (D/E)^2((0.61+0.33)E+T) Not sure what T is supposed to be so I've entered values for T to fit values provided by the NAF CALC K2"/>
        <s v="Bore Cross sectional Area: (in^2) = Pi*(r^2)"/>
        <s v="Bore Volume: (in^3) = Pi*(r^2)*h"/>
        <s v="Bore Volume Increase over next higher note"/>
        <s v="Long Chamber"/>
        <s v="Long Chamber Increase over next higher note"/>
        <s v="Lathe Chuck Jaws Set Size/#"/>
        <s v="Chamber to Bore Ratio"/>
        <s v="NOVA Infinity Bowl Jaw Series #1 - 8301"/>
        <s v="NOVA Infinity Bowl Jaw Series #2 - 8302"/>
        <s v="NOVA Infinity Bowl Jaw Series #3 - 8303"/>
        <s v="NOVA Infinity Bowl Jaw Series #4 - 8304"/>
        <s v="NOVA Infinity Bowl Jaw Series #5 - 8305"/>
        <s v="NOVA Infinity Bowl Jaw Series #6 - 8306"/>
        <s v="NOVA Infinity Bowl Jaw Series #7 - 8307"/>
        <s v="NOVA Infinity Saw Tooth Jaw Series #1 - 8311-R"/>
        <s v="NOVA Infinity Saw Tooth Jaw Series #2 - 8312-R"/>
        <s v="NOVA Infinity Saw Tooth Jaw Series #3 - 8313"/>
        <s v="NOVA 8012 Infnity Super Infinity Quick Change Chuck"/>
      </sharedItems>
    </cacheField>
    <cacheField name="39" numFmtId="0">
      <sharedItems containsBlank="1" containsMixedTypes="1" containsNumber="1" minValue="3.5000000000000003E-2" maxValue="493.88330125612413"/>
    </cacheField>
    <cacheField name="40" numFmtId="0">
      <sharedItems containsBlank="1" containsMixedTypes="1" containsNumber="1" minValue="-0.56719994382919481" maxValue="523.25113060119736" count="87">
        <s v="C 4"/>
        <n v="261.62556530059862"/>
        <s v="Eb 4"/>
        <n v="311.12698372208087"/>
        <s v="F4"/>
        <n v="349.22823143300388"/>
        <s v="G4"/>
        <n v="391.99543598174927"/>
        <s v="Ab4"/>
        <n v="415.30469757994513"/>
        <s v="Bb 4"/>
        <n v="466.16376151808993"/>
        <s v="C5"/>
        <n v="523.25113060119736"/>
        <m/>
        <n v="2.625"/>
        <s v="5/16"/>
        <n v="4.25"/>
        <n v="1"/>
        <n v="1.5"/>
        <n v="0.22500000000000001"/>
        <n v="3.5000000000000003E-2"/>
        <n v="0.5"/>
        <n v="0.25"/>
        <n v="0.3"/>
        <n v="0.42499999999999999"/>
        <n v="6.6"/>
        <n v="8.44"/>
        <n v="10.284000000000001"/>
        <n v="12.459"/>
        <n v="13.885"/>
        <n v="15.311999999999999"/>
        <n v="31.441276256481078"/>
        <n v="3.625"/>
        <n v="0.875"/>
        <n v="1.45"/>
        <n v="113.97462642974391"/>
        <n v="1.3851083073059156"/>
        <n v="4.625"/>
        <n v="0.26250000000000001"/>
        <n v="0.75"/>
        <n v="23.341276256481081"/>
        <n v="21.501276256481077"/>
        <n v="19.657276256481076"/>
        <n v="17.482276256481079"/>
        <n v="16.056276256481077"/>
        <n v="14.629276256481079"/>
        <n v="1.8400000000000034"/>
        <n v="1.8440000000000012"/>
        <n v="2.1749999999999972"/>
        <n v="1.4260000000000019"/>
        <n v="1.4269999999999978"/>
        <n v="25.899609589814411"/>
        <n v="0.33333333333333331"/>
        <n v="3.5"/>
        <n v="0.78537500000000005"/>
        <n v="17.330301714933828"/>
        <n v="1.7070695530814692"/>
        <n v="22.066276256481078"/>
        <n v="-0.56719994382919481"/>
        <s v="22.1:1"/>
        <s v="Price"/>
        <n v="51.99"/>
        <n v="57.99"/>
        <n v="46"/>
        <n v="41.5"/>
        <n v="261.62556530059851" u="1"/>
        <n v="311.12698372208081" u="1"/>
        <n v="349.22823143300383" u="1"/>
        <n v="31.441276256481089" u="1"/>
        <n v="113.97462642974395" u="1"/>
        <n v="1.3851083073059161" u="1"/>
        <n v="23.341276256481088" u="1"/>
        <n v="21.501276256481091" u="1"/>
        <n v="19.65727625648109" u="1"/>
        <n v="17.482276256481089" u="1"/>
        <n v="16.056276256481091" u="1"/>
        <n v="14.62927625648109" u="1"/>
        <n v="1.8399999999999963" u="1"/>
        <n v="2.1750000000000007" u="1"/>
        <n v="1.4259999999999984" u="1"/>
        <n v="1.4270000000000014" u="1"/>
        <n v="25.899609589814421" u="1"/>
        <n v="17.330301714933835" u="1"/>
        <n v="1.7070695530814746" u="1"/>
        <n v="22.066276256481089" u="1"/>
        <n v="-0.56719994382919126" u="1"/>
      </sharedItems>
    </cacheField>
    <cacheField name="41" numFmtId="0">
      <sharedItems containsBlank="1" containsMixedTypes="1" containsNumber="1" minValue="3.5000000000000003E-2" maxValue="554.36526195374415"/>
    </cacheField>
    <cacheField name="42" numFmtId="0">
      <sharedItems containsBlank="1" containsMixedTypes="1" containsNumber="1" minValue="-0.22579320997810015" maxValue="587.32953583481526" count="86">
        <s v="D 4"/>
        <n v="293.66476791740752"/>
        <s v="F4"/>
        <n v="349.22823143300388"/>
        <s v="G4"/>
        <n v="391.99543598174927"/>
        <s v="A4"/>
        <n v="440"/>
        <s v="Bb4"/>
        <n v="466.16376151808993"/>
        <s v="C5"/>
        <n v="523.25113060119736"/>
        <s v="D5"/>
        <n v="587.32953583481515"/>
        <m/>
        <n v="2.5"/>
        <s v="5/16"/>
        <n v="4"/>
        <n v="0.875"/>
        <n v="1.5"/>
        <n v="0.9375"/>
        <n v="0.22500000000000001"/>
        <n v="3.5000000000000003E-2"/>
        <n v="0.46875"/>
        <n v="0.25"/>
        <n v="0.36249999999999999"/>
        <n v="0.4"/>
        <n v="5.7640000000000002"/>
        <n v="7.4050000000000002"/>
        <n v="9.0459999999999994"/>
        <n v="11.077"/>
        <n v="12.302"/>
        <n v="13.526999999999999"/>
        <n v="29.136428983900899"/>
        <n v="3.625"/>
        <n v="1.3875"/>
        <n v="105.61955506664076"/>
        <n v="1.2835709817126482"/>
        <n v="4.375"/>
        <n v="0.29375000000000001"/>
        <n v="0.75"/>
        <n v="21.8724289839009"/>
        <n v="20.231428983900898"/>
        <n v="18.5904289839009"/>
        <n v="16.559428983900901"/>
        <n v="15.334428983900899"/>
        <n v="14.1094289839009"/>
        <n v="1.6410000000000018"/>
        <n v="1.6409999999999982"/>
        <n v="2.0309999999999988"/>
        <n v="1.2250000000000014"/>
        <n v="1.2249999999999996"/>
        <n v="23.073928983900899"/>
        <n v="0.3125"/>
        <n v="0.69027099609375009"/>
        <n v="13.985876767000052"/>
        <n v="1.6668540420724227"/>
        <n v="20.261428983900899"/>
        <n v="-0.22579320997810015"/>
        <s v="21.7:1"/>
        <s v="Max"/>
        <n v="0.90600000000000003"/>
        <n v="1.496"/>
        <n v="2.0870000000000002"/>
        <n v="3.18"/>
        <n v="3.77"/>
        <n v="4.2910000000000004"/>
        <n v="4.8029999999999999"/>
        <n v="1.417"/>
        <n v="3.2669999999999999"/>
        <n v="293.66476791740746" u="1"/>
        <n v="349.22823143300383" u="1"/>
        <n v="587.32953583481526" u="1"/>
        <n v="29.136428983900903" u="1"/>
        <n v="105.61955506664077" u="1"/>
        <n v="1.2835709817126484" u="1"/>
        <n v="21.872428983900903" u="1"/>
        <n v="20.231428983900901" u="1"/>
        <n v="18.590428983900903" u="1"/>
        <n v="15.334428983900903" u="1"/>
        <n v="14.109428983900903" u="1"/>
        <n v="2.0310000000000024" u="1"/>
        <n v="1.2249999999999979" u="1"/>
        <n v="23.073928983900903" u="1"/>
        <n v="13.985876767000054" u="1"/>
        <n v="20.261428983900903" u="1"/>
      </sharedItems>
    </cacheField>
    <cacheField name="43" numFmtId="0">
      <sharedItems containsBlank="1" containsMixedTypes="1" containsNumber="1" minValue="3.5000000000000003E-2" maxValue="622.25396744416196" count="89">
        <s v="Eb 4"/>
        <n v="311.12698372208087"/>
        <s v="Gb4"/>
        <n v="369.99442271163434"/>
        <s v="Ab4"/>
        <n v="415.30469757994513"/>
        <s v="Bb4"/>
        <n v="466.16376151808993"/>
        <s v="B4"/>
        <n v="493.88330125612413"/>
        <s v="Db5"/>
        <n v="554.36526195374415"/>
        <s v="Eb5"/>
        <n v="622.25396744416184"/>
        <m/>
        <n v="2.375"/>
        <s v="9/32"/>
        <n v="3.75"/>
        <n v="0.875"/>
        <n v="1.5"/>
        <n v="0.22500000000000001"/>
        <n v="3.5000000000000003E-2"/>
        <n v="0.4375"/>
        <n v="0.25"/>
        <n v="0.17499999999999999"/>
        <n v="0.375"/>
        <n v="5.5259999999999998"/>
        <n v="7.06"/>
        <n v="8.5890000000000004"/>
        <n v="10.554"/>
        <n v="11.698"/>
        <n v="12.84"/>
        <n v="28.987222193878999"/>
        <n v="3.125"/>
        <n v="0.75"/>
        <n v="1.325"/>
        <n v="90.585069355871866"/>
        <n v="0.94359447245699868"/>
        <n v="4.25"/>
        <n v="0.2"/>
        <n v="21.961222193878999"/>
        <n v="20.427222193879"/>
        <n v="18.898222193879"/>
        <n v="16.933222193878997"/>
        <n v="15.789222193878999"/>
        <n v="14.647222193878999"/>
        <n v="1.5339999999999989"/>
        <n v="1.5289999999999999"/>
        <n v="1.9650000000000034"/>
        <n v="1.1439999999999984"/>
        <n v="1.1419999999999995"/>
        <n v="21.778888860545667"/>
        <n v="0.29166666666666669"/>
        <n v="1"/>
        <n v="0.60130273437500004"/>
        <n v="12.319022724927629"/>
        <n v="1.6369595693742518"/>
        <n v="20.487222193878999"/>
        <n v="2.7223551063271358"/>
        <s v="23.5:1"/>
        <s v="Expansion"/>
        <s v="Min"/>
        <n v="1.339"/>
        <n v="2.008"/>
        <n v="2.68"/>
        <n v="3.3460000000000001"/>
        <n v="4.016"/>
        <n v="4.6849999999999996"/>
        <n v="5.3540000000000001"/>
        <n v="1.921"/>
        <n v="2.5910000000000002"/>
        <n v="3.26"/>
        <n v="311.12698372208081" u="1"/>
        <n v="554.36526195374427" u="1"/>
        <n v="622.25396744416196" u="1"/>
        <n v="28.987222193879003" u="1"/>
        <n v="90.58506935587188" u="1"/>
        <n v="21.961222193879003" u="1"/>
        <n v="20.427222193879004" u="1"/>
        <n v="16.933222193879004" u="1"/>
        <n v="15.789222193879002" u="1"/>
        <n v="14.647222193879003" u="1"/>
        <n v="1.5290000000000035" u="1"/>
        <n v="1.9649999999999963" u="1"/>
        <n v="1.1440000000000019" u="1"/>
        <n v="21.778888860545671" u="1"/>
        <n v="12.319022724927631" u="1"/>
        <n v="1.63695956937425" u="1"/>
        <n v="20.487222193879003" u="1"/>
      </sharedItems>
    </cacheField>
    <cacheField name="44" numFmtId="0">
      <sharedItems containsBlank="1" containsMixedTypes="1" containsNumber="1" minValue="3.5000000000000003E-2" maxValue="659.25511382573995"/>
    </cacheField>
    <cacheField name="45" numFmtId="0">
      <sharedItems containsBlank="1" containsMixedTypes="1" containsNumber="1" minValue="3.5000000000000003E-2" maxValue="698.45646286600777"/>
    </cacheField>
    <cacheField name="46" numFmtId="0">
      <sharedItems containsBlank="1" containsMixedTypes="1" containsNumber="1" minValue="5.3740270775612942E-3" maxValue="739.98884542326891"/>
    </cacheField>
    <cacheField name="47" numFmtId="0">
      <sharedItems containsBlank="1" containsMixedTypes="1" containsNumber="1" minValue="3.5000000000000003E-2" maxValue="783.99087196349865"/>
    </cacheField>
    <cacheField name="48" numFmtId="0">
      <sharedItems containsBlank="1" containsMixedTypes="1" containsNumber="1" minValue="-0.65510168020018611" maxValue="830.60939515989048"/>
    </cacheField>
    <cacheField name="49" numFmtId="0">
      <sharedItems containsBlank="1" containsMixedTypes="1" containsNumber="1" minValue="3.5000000000000003E-2" maxValue="8311"/>
    </cacheField>
    <cacheField name="50" numFmtId="0">
      <sharedItems containsBlank="1" containsMixedTypes="1" containsNumber="1" minValue="-0.40500917739647946" maxValue="8311"/>
    </cacheField>
    <cacheField name="51" numFmtId="0">
      <sharedItems containsBlank="1" containsMixedTypes="1" containsNumber="1" minValue="3.5000000000000003E-2" maxValue="8311"/>
    </cacheField>
    <cacheField name="52" numFmtId="0">
      <sharedItems containsBlank="1" containsMixedTypes="1" containsNumber="1" minValue="-0.54401663858126881" maxValue="8311"/>
    </cacheField>
    <cacheField name="53" numFmtId="0">
      <sharedItems containsBlank="1" containsMixedTypes="1" containsNumber="1" minValue="3.5000000000000003E-2" maxValue="8311"/>
    </cacheField>
    <cacheField name="54" numFmtId="0">
      <sharedItems containsBlank="1" containsMixedTypes="1" containsNumber="1" minValue="3.5000000000000003E-2" maxValue="831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4">
  <r>
    <m/>
    <s v="Variable Name"/>
    <x v="0"/>
    <s v="B3"/>
    <x v="0"/>
    <s v="Db 4"/>
    <x v="0"/>
    <x v="0"/>
    <s v="E 4"/>
    <s v="F4"/>
    <s v="Gb 4"/>
    <s v="G 4"/>
    <s v="Ab 4"/>
    <s v="A 4"/>
    <s v="Bb 4"/>
    <s v="B 4"/>
    <s v="C 5"/>
    <s v="Db 5"/>
    <s v="D 5"/>
  </r>
  <r>
    <s v="Pentatonic Minor Scale: 3-2-2-3-2"/>
    <m/>
    <x v="1"/>
    <n v="246.94165062806201"/>
    <x v="1"/>
    <n v="277.18263097687208"/>
    <x v="1"/>
    <x v="1"/>
    <n v="329.62755691286992"/>
    <n v="349.22823143300388"/>
    <n v="369.99442271163434"/>
    <n v="391.99543598174927"/>
    <n v="415.30469757994513"/>
    <n v="440"/>
    <n v="466.16376151808993"/>
    <n v="493.88330125612413"/>
    <n v="523.25113060119736"/>
    <n v="554.36526195374415"/>
    <n v="587.32953583481515"/>
  </r>
  <r>
    <m/>
    <m/>
    <x v="2"/>
    <s v="D4"/>
    <x v="2"/>
    <s v="E4"/>
    <x v="2"/>
    <x v="2"/>
    <s v="G4"/>
    <s v="Ab4"/>
    <s v="A4"/>
    <s v="Bb4"/>
    <s v="B4"/>
    <s v="C5"/>
    <s v="Db5"/>
    <s v="D5"/>
    <s v="Eb 5"/>
    <s v="E5"/>
    <s v="F5"/>
  </r>
  <r>
    <m/>
    <m/>
    <x v="3"/>
    <n v="293.66476791740752"/>
    <x v="3"/>
    <n v="329.62755691286992"/>
    <x v="3"/>
    <x v="3"/>
    <n v="391.99543598174927"/>
    <n v="415.30469757994513"/>
    <n v="440"/>
    <n v="466.16376151808993"/>
    <n v="493.88330125612413"/>
    <n v="523.25113060119736"/>
    <n v="554.36526195374415"/>
    <n v="587.32953583481515"/>
    <n v="622.25396744416184"/>
    <n v="659.25511382573995"/>
    <n v="698.45646286600777"/>
  </r>
  <r>
    <m/>
    <m/>
    <x v="4"/>
    <s v="E4"/>
    <x v="4"/>
    <s v="Gb4"/>
    <x v="4"/>
    <x v="4"/>
    <s v="A4"/>
    <s v="Bb4"/>
    <s v="B4"/>
    <s v="C5"/>
    <s v="Db5"/>
    <s v="D5"/>
    <s v="Eb5"/>
    <s v="E5"/>
    <s v="F5"/>
    <s v="Gb5"/>
    <s v="G5"/>
  </r>
  <r>
    <m/>
    <m/>
    <x v="5"/>
    <n v="329.62755691286992"/>
    <x v="5"/>
    <n v="369.99442271163434"/>
    <x v="5"/>
    <x v="5"/>
    <n v="440"/>
    <n v="466.16376151808993"/>
    <n v="493.88330125612413"/>
    <n v="523.25113060119736"/>
    <n v="554.36526195374415"/>
    <n v="587.32953583481515"/>
    <n v="622.25396744416184"/>
    <n v="659.25511382573995"/>
    <n v="698.45646286600777"/>
    <n v="739.98884542326891"/>
    <n v="783.99087196349865"/>
  </r>
  <r>
    <m/>
    <m/>
    <x v="6"/>
    <s v="Gb4"/>
    <x v="6"/>
    <s v="Ab4"/>
    <x v="6"/>
    <x v="6"/>
    <s v="B4"/>
    <s v="C5"/>
    <s v="Db5"/>
    <s v="D5"/>
    <s v="Eb5"/>
    <s v="E5"/>
    <s v="F5"/>
    <s v="Gb 5"/>
    <s v="G5"/>
    <s v="Ab5"/>
    <s v="A5"/>
  </r>
  <r>
    <m/>
    <m/>
    <x v="7"/>
    <n v="369.99442271163434"/>
    <x v="7"/>
    <n v="415.30469757994513"/>
    <x v="7"/>
    <x v="7"/>
    <n v="493.88330125612413"/>
    <n v="523.25113060119736"/>
    <n v="554.36526195374415"/>
    <n v="587.32953583481515"/>
    <n v="622.25396744416184"/>
    <n v="659.25511382573995"/>
    <n v="698.45646286600777"/>
    <n v="739.98884542326891"/>
    <n v="783.99087196349865"/>
    <n v="830.60939515989048"/>
    <n v="880"/>
  </r>
  <r>
    <m/>
    <m/>
    <x v="8"/>
    <s v="G4"/>
    <x v="8"/>
    <s v="A4"/>
    <x v="8"/>
    <x v="8"/>
    <s v="C5"/>
    <s v="Db5"/>
    <s v="D5"/>
    <s v="Eb5"/>
    <s v="E5"/>
    <s v="F5"/>
    <s v="Gb5"/>
    <s v="G5"/>
    <s v="Ab5"/>
    <s v="A5"/>
    <s v="Bb5"/>
  </r>
  <r>
    <m/>
    <m/>
    <x v="9"/>
    <n v="391.99543598174927"/>
    <x v="9"/>
    <n v="440"/>
    <x v="9"/>
    <x v="9"/>
    <n v="523.25113060119736"/>
    <n v="554.36526195374415"/>
    <n v="587.32953583481515"/>
    <n v="622.25396744416184"/>
    <n v="659.25511382573995"/>
    <n v="698.45646286600777"/>
    <n v="739.98884542326891"/>
    <n v="783.99087196349865"/>
    <n v="830.60939515989048"/>
    <n v="880"/>
    <n v="932.32752303617985"/>
  </r>
  <r>
    <m/>
    <m/>
    <x v="10"/>
    <s v="A4"/>
    <x v="10"/>
    <s v="B4"/>
    <x v="10"/>
    <x v="10"/>
    <s v="D5"/>
    <s v="Eb5"/>
    <s v="E5"/>
    <s v="F5"/>
    <s v="Gb5"/>
    <s v="G5"/>
    <s v="Ab5"/>
    <s v="A5"/>
    <s v="Bb 5"/>
    <s v="B5"/>
    <s v="C6"/>
  </r>
  <r>
    <m/>
    <m/>
    <x v="11"/>
    <n v="440"/>
    <x v="11"/>
    <n v="493.88330125612413"/>
    <x v="11"/>
    <x v="11"/>
    <n v="587.32953583481515"/>
    <n v="622.25396744416184"/>
    <n v="659.25511382573995"/>
    <n v="698.45646286600777"/>
    <n v="739.98884542326891"/>
    <n v="783.99087196349865"/>
    <n v="830.60939515989048"/>
    <n v="880"/>
    <n v="932.32752303617985"/>
    <n v="987.76660251224848"/>
    <n v="1046.5022612023947"/>
  </r>
  <r>
    <m/>
    <m/>
    <x v="12"/>
    <s v="B4"/>
    <x v="12"/>
    <s v="Db5"/>
    <x v="12"/>
    <x v="12"/>
    <s v="E5"/>
    <s v="F5"/>
    <s v="Gb5"/>
    <s v="G5"/>
    <s v="Ab5"/>
    <s v="A5"/>
    <s v="Bb5"/>
    <s v="B5"/>
    <s v="C6"/>
    <s v="Db5"/>
    <s v="D6"/>
  </r>
  <r>
    <m/>
    <m/>
    <x v="13"/>
    <n v="493.88330125612413"/>
    <x v="13"/>
    <n v="554.36526195374415"/>
    <x v="13"/>
    <x v="13"/>
    <n v="659.25511382573995"/>
    <n v="698.45646286600777"/>
    <n v="739.98884542326891"/>
    <n v="783.99087196349865"/>
    <n v="830.60939515989048"/>
    <n v="880"/>
    <n v="932.32752303617985"/>
    <n v="987.76660251224848"/>
    <n v="1046.5022612023947"/>
    <n v="1108.7305239074885"/>
    <n v="1174.6590716696305"/>
  </r>
  <r>
    <m/>
    <m/>
    <x v="14"/>
    <m/>
    <x v="14"/>
    <m/>
    <x v="14"/>
    <x v="14"/>
    <m/>
    <m/>
    <m/>
    <m/>
    <m/>
    <m/>
    <m/>
    <m/>
    <m/>
    <m/>
    <m/>
  </r>
  <r>
    <s v="User Selected Inputs &amp; Variables"/>
    <s v="A"/>
    <x v="15"/>
    <n v="2.625"/>
    <x v="15"/>
    <n v="2.5"/>
    <x v="15"/>
    <x v="15"/>
    <n v="2.375"/>
    <n v="2.25"/>
    <n v="2.25"/>
    <n v="2.125"/>
    <n v="2.125"/>
    <n v="2"/>
    <n v="2"/>
    <n v="1.875"/>
    <n v="1.75"/>
    <n v="1.625"/>
    <n v="1.5"/>
  </r>
  <r>
    <m/>
    <s v="G"/>
    <x v="16"/>
    <s v="5/16"/>
    <x v="16"/>
    <s v="5/16"/>
    <x v="16"/>
    <x v="16"/>
    <s v="9/32"/>
    <s v="9/32"/>
    <s v="9/32"/>
    <s v="9/32"/>
    <s v="9/32"/>
    <s v="1/4"/>
    <s v="1/4"/>
    <s v="1/4"/>
    <s v="1/4"/>
    <s v="1/4"/>
    <s v="1/4"/>
  </r>
  <r>
    <m/>
    <s v="B"/>
    <x v="17"/>
    <n v="4.375"/>
    <x v="17"/>
    <n v="4.125"/>
    <x v="17"/>
    <x v="17"/>
    <n v="3.75"/>
    <n v="3.625"/>
    <n v="3.5"/>
    <n v="3.375"/>
    <n v="3.25"/>
    <n v="3.125"/>
    <n v="3"/>
    <n v="2.875"/>
    <n v="2.75"/>
    <n v="2.625"/>
    <n v="2.5"/>
  </r>
  <r>
    <m/>
    <s v="C"/>
    <x v="18"/>
    <n v="1"/>
    <x v="18"/>
    <n v="1"/>
    <x v="18"/>
    <x v="18"/>
    <n v="0.875"/>
    <n v="0.875"/>
    <n v="0.75"/>
    <n v="0.75"/>
    <n v="0.75"/>
    <n v="0.75"/>
    <n v="0.75"/>
    <n v="0.75"/>
    <n v="0.75"/>
    <n v="0.75"/>
    <n v="0.75"/>
  </r>
  <r>
    <m/>
    <s v="E"/>
    <x v="19"/>
    <n v="1.5"/>
    <x v="19"/>
    <n v="1.5"/>
    <x v="19"/>
    <x v="19"/>
    <n v="1.5"/>
    <n v="1.5"/>
    <n v="1.5"/>
    <n v="1.5"/>
    <n v="1.5"/>
    <n v="1.5"/>
    <n v="1.5"/>
    <n v="1.5"/>
    <n v="1.5"/>
    <n v="1.5"/>
    <n v="1.5"/>
  </r>
  <r>
    <m/>
    <s v="F"/>
    <x v="20"/>
    <n v="1"/>
    <x v="18"/>
    <n v="0.9375"/>
    <x v="20"/>
    <x v="18"/>
    <n v="0.875"/>
    <n v="0.8175"/>
    <n v="0.8175"/>
    <n v="0.75"/>
    <n v="0.75"/>
    <n v="0.6875"/>
    <n v="0.6875"/>
    <n v="0.625"/>
    <n v="0.625"/>
    <n v="0.5625"/>
    <n v="0.5625"/>
  </r>
  <r>
    <m/>
    <s v="T"/>
    <x v="21"/>
    <n v="0.22500000000000001"/>
    <x v="20"/>
    <n v="0.22500000000000001"/>
    <x v="21"/>
    <x v="20"/>
    <n v="0.22500000000000001"/>
    <n v="0.2"/>
    <n v="0.2"/>
    <n v="0.2"/>
    <n v="0.2"/>
    <n v="0.1875"/>
    <n v="0.1875"/>
    <n v="0.1875"/>
    <n v="0.1875"/>
    <n v="0.1875"/>
    <n v="0.1875"/>
  </r>
  <r>
    <m/>
    <s v="U"/>
    <x v="22"/>
    <n v="3.5000000000000003E-2"/>
    <x v="21"/>
    <n v="3.5000000000000003E-2"/>
    <x v="22"/>
    <x v="21"/>
    <n v="3.5000000000000003E-2"/>
    <n v="3.5000000000000003E-2"/>
    <n v="3.5000000000000003E-2"/>
    <n v="3.5000000000000003E-2"/>
    <n v="3.5000000000000003E-2"/>
    <n v="3.5000000000000003E-2"/>
    <n v="3.5000000000000003E-2"/>
    <n v="3.5000000000000003E-2"/>
    <n v="3.5000000000000003E-2"/>
    <n v="3.5000000000000003E-2"/>
    <n v="3.5000000000000003E-2"/>
  </r>
  <r>
    <m/>
    <s v="V"/>
    <x v="23"/>
    <n v="0.5"/>
    <x v="22"/>
    <n v="0.46875"/>
    <x v="23"/>
    <x v="22"/>
    <n v="0.4375"/>
    <n v="0.40875"/>
    <n v="0.40875"/>
    <n v="0.375"/>
    <n v="0.375"/>
    <n v="0.34375"/>
    <n v="0.34375"/>
    <n v="0.3125"/>
    <n v="0.3125"/>
    <n v="0.28125"/>
    <n v="0.28125"/>
  </r>
  <r>
    <m/>
    <s v="W"/>
    <x v="24"/>
    <n v="0.25"/>
    <x v="23"/>
    <n v="0.25"/>
    <x v="24"/>
    <x v="23"/>
    <n v="0.25"/>
    <n v="0.25"/>
    <n v="0.25"/>
    <n v="0.22500000000000001"/>
    <n v="0.22500000000000001"/>
    <n v="0.22500000000000001"/>
    <n v="0.22500000000000001"/>
    <n v="0.22500000000000001"/>
    <n v="0.22500000000000001"/>
    <n v="0.22500000000000001"/>
    <n v="0.22500000000000001"/>
  </r>
  <r>
    <m/>
    <m/>
    <x v="25"/>
    <n v="0.3"/>
    <x v="24"/>
    <n v="0.36249999999999999"/>
    <x v="25"/>
    <x v="24"/>
    <n v="0.17499999999999999"/>
    <n v="0.28199999999999997"/>
    <n v="0.28199999999999997"/>
    <n v="0.35"/>
    <n v="0.35"/>
    <n v="0.1875"/>
    <n v="0.1875"/>
    <n v="0.25"/>
    <n v="0.25"/>
    <n v="0.313"/>
    <n v="0.313"/>
  </r>
  <r>
    <m/>
    <s v="N"/>
    <x v="26"/>
    <n v="0.42499999999999999"/>
    <x v="25"/>
    <n v="0.4"/>
    <x v="26"/>
    <x v="25"/>
    <n v="0.375"/>
    <n v="0.35"/>
    <n v="0.35"/>
    <n v="0.32500000000000001"/>
    <n v="0.32500000000000001"/>
    <n v="0.3"/>
    <n v="0.3"/>
    <n v="0.27500000000000002"/>
    <n v="0.27500000000000002"/>
    <n v="0.25"/>
    <n v="0.25"/>
  </r>
  <r>
    <m/>
    <s v="O"/>
    <x v="27"/>
    <n v="0.42499999999999999"/>
    <x v="25"/>
    <n v="0.4"/>
    <x v="26"/>
    <x v="25"/>
    <n v="0.375"/>
    <n v="0.35"/>
    <n v="0.35"/>
    <n v="0.32500000000000001"/>
    <n v="0.32500000000000001"/>
    <n v="0.3"/>
    <n v="0.3"/>
    <n v="0.27500000000000002"/>
    <n v="0.27500000000000002"/>
    <n v="0.25"/>
    <n v="0.25"/>
  </r>
  <r>
    <m/>
    <s v="P"/>
    <x v="28"/>
    <n v="0.42499999999999999"/>
    <x v="25"/>
    <n v="0.4"/>
    <x v="26"/>
    <x v="25"/>
    <n v="0.375"/>
    <n v="0.35"/>
    <n v="0.35"/>
    <n v="0.32500000000000001"/>
    <n v="0.32500000000000001"/>
    <n v="0.3"/>
    <n v="0.3"/>
    <n v="0.27500000000000002"/>
    <n v="0.27500000000000002"/>
    <n v="0.25"/>
    <n v="0.25"/>
  </r>
  <r>
    <m/>
    <s v="Q"/>
    <x v="29"/>
    <n v="0.42499999999999999"/>
    <x v="25"/>
    <n v="0.4"/>
    <x v="26"/>
    <x v="25"/>
    <n v="0.375"/>
    <n v="0.35"/>
    <n v="0.35"/>
    <n v="0.32500000000000001"/>
    <n v="0.32500000000000001"/>
    <n v="0.3"/>
    <n v="0.3"/>
    <n v="0.27500000000000002"/>
    <n v="0.27500000000000002"/>
    <n v="0.25"/>
    <n v="0.25"/>
  </r>
  <r>
    <m/>
    <s v="R"/>
    <x v="30"/>
    <n v="0.42499999999999999"/>
    <x v="25"/>
    <n v="0.4"/>
    <x v="26"/>
    <x v="25"/>
    <n v="0.375"/>
    <n v="0.35"/>
    <n v="0.35"/>
    <n v="0.32500000000000001"/>
    <n v="0.32500000000000001"/>
    <n v="0.3"/>
    <n v="0.3"/>
    <n v="0.27500000000000002"/>
    <n v="0.27500000000000002"/>
    <n v="0.25"/>
    <n v="0.25"/>
  </r>
  <r>
    <m/>
    <s v="S"/>
    <x v="31"/>
    <n v="0.42499999999999999"/>
    <x v="25"/>
    <n v="0.4"/>
    <x v="26"/>
    <x v="25"/>
    <n v="0.375"/>
    <n v="0.35"/>
    <n v="0.35"/>
    <n v="0.32500000000000001"/>
    <n v="0.32500000000000001"/>
    <n v="0.3"/>
    <n v="0.3"/>
    <n v="0.27500000000000002"/>
    <n v="0.27500000000000002"/>
    <n v="0.25"/>
    <n v="0.25"/>
  </r>
  <r>
    <m/>
    <m/>
    <x v="32"/>
    <n v="7.2"/>
    <x v="26"/>
    <n v="6.0140000000000002"/>
    <x v="27"/>
    <x v="26"/>
    <n v="4.8449999999999998"/>
    <n v="4.6379999999999999"/>
    <n v="4.4409999999999998"/>
    <n v="3.8940000000000001"/>
    <n v="3.7229999999999999"/>
    <n v="3.56"/>
    <n v="3.2320000000000002"/>
    <n v="3.0880000000000001"/>
    <n v="2.9510000000000001"/>
    <n v="2.8210000000000002"/>
    <n v="2.3180000000000001"/>
  </r>
  <r>
    <m/>
    <m/>
    <x v="33"/>
    <n v="9.1"/>
    <x v="27"/>
    <n v="7.77"/>
    <x v="28"/>
    <x v="27"/>
    <n v="6.335"/>
    <n v="6.032"/>
    <n v="5.7380000000000004"/>
    <n v="5.165"/>
    <n v="4.91"/>
    <n v="4.67"/>
    <n v="4.335"/>
    <n v="4.12"/>
    <n v="3.9169999999999998"/>
    <n v="3.7250000000000001"/>
    <n v="3.1749999999999998"/>
  </r>
  <r>
    <m/>
    <m/>
    <x v="34"/>
    <n v="10.9"/>
    <x v="28"/>
    <n v="9.5269999999999992"/>
    <x v="29"/>
    <x v="28"/>
    <n v="7.8209999999999997"/>
    <n v="7.4180000000000001"/>
    <n v="7.0380000000000003"/>
    <n v="6.4390000000000001"/>
    <n v="6.1020000000000003"/>
    <n v="5.7839999999999998"/>
    <n v="5.4359999999999999"/>
    <n v="5.1509999999999998"/>
    <n v="4.8819999999999997"/>
    <n v="4.6280000000000001"/>
    <n v="4.0330000000000004"/>
  </r>
  <r>
    <m/>
    <m/>
    <x v="35"/>
    <n v="13.3"/>
    <x v="29"/>
    <n v="11.629"/>
    <x v="30"/>
    <x v="29"/>
    <n v="9.3350000000000009"/>
    <n v="8.8780000000000001"/>
    <n v="8.4459999999999997"/>
    <n v="7.6420000000000003"/>
    <n v="7.2610000000000001"/>
    <n v="6.899"/>
    <n v="6.3079999999999998"/>
    <n v="5.9889999999999999"/>
    <n v="5.6870000000000003"/>
    <n v="5.4"/>
    <n v="4.742"/>
  </r>
  <r>
    <m/>
    <m/>
    <x v="36"/>
    <n v="14.2"/>
    <x v="30"/>
    <n v="12.94"/>
    <x v="31"/>
    <x v="30"/>
    <n v="10.48"/>
    <n v="9.9499999999999993"/>
    <n v="9.4499999999999993"/>
    <n v="8.6199999999999992"/>
    <n v="8.1750000000000007"/>
    <n v="7.7530000000000001"/>
    <n v="7.15"/>
    <n v="6.78"/>
    <n v="6.4249999999999998"/>
    <n v="6.09"/>
    <n v="5.43"/>
  </r>
  <r>
    <m/>
    <m/>
    <x v="37"/>
    <n v="15.4"/>
    <x v="31"/>
    <n v="14.252000000000001"/>
    <x v="32"/>
    <x v="31"/>
    <n v="11.624000000000001"/>
    <n v="11.019"/>
    <n v="10.448"/>
    <n v="9.593"/>
    <n v="9.0869999999999997"/>
    <n v="8.6069999999999993"/>
    <n v="7.9909999999999997"/>
    <n v="7.5650000000000004"/>
    <n v="7.1630000000000003"/>
    <n v="6.782"/>
    <n v="6.1189999999999998"/>
  </r>
  <r>
    <m/>
    <m/>
    <x v="14"/>
    <m/>
    <x v="14"/>
    <m/>
    <x v="14"/>
    <x v="14"/>
    <m/>
    <m/>
    <m/>
    <m/>
    <m/>
    <m/>
    <m/>
    <m/>
    <m/>
    <m/>
    <m/>
  </r>
  <r>
    <s v="Calculated/Tabulated"/>
    <m/>
    <x v="38"/>
    <n v="32.5"/>
    <x v="32"/>
    <n v="31.758476200310273"/>
    <x v="33"/>
    <x v="32"/>
    <n v="26.264867087551863"/>
    <n v="25.780284168381048"/>
    <n v="23.041289571041908"/>
    <n v="22.785915543964347"/>
    <n v="20.890731653133148"/>
    <n v="21.295833333333334"/>
    <n v="19.356497748631412"/>
    <n v="19.511506926027891"/>
    <n v="17.241471461573866"/>
    <n v="17.535488100155135"/>
    <n v="16.402584020837921"/>
  </r>
  <r>
    <m/>
    <m/>
    <x v="39"/>
    <n v="3.625"/>
    <x v="33"/>
    <n v="3.625"/>
    <x v="34"/>
    <x v="33"/>
    <n v="3.125"/>
    <n v="3.1240000000000001"/>
    <n v="3.1240000000000001"/>
    <n v="3.125"/>
    <n v="3.125"/>
    <n v="2.625"/>
    <n v="2.625"/>
    <n v="2.625"/>
    <n v="2.625"/>
    <n v="2.6259999999999999"/>
    <n v="2.6259999999999999"/>
  </r>
  <r>
    <m/>
    <m/>
    <x v="40"/>
    <n v="0.875"/>
    <x v="34"/>
    <n v="0.875"/>
    <x v="18"/>
    <x v="34"/>
    <n v="0.75"/>
    <n v="0.74975000000000003"/>
    <n v="0.74975000000000003"/>
    <n v="0.75"/>
    <n v="0.75"/>
    <n v="0.625"/>
    <n v="0.625"/>
    <n v="0.625"/>
    <n v="0.625"/>
    <n v="0.62524999999999997"/>
    <n v="0.62524999999999997"/>
  </r>
  <r>
    <m/>
    <m/>
    <x v="41"/>
    <n v="1.45"/>
    <x v="35"/>
    <n v="1.3875"/>
    <x v="35"/>
    <x v="35"/>
    <n v="1.325"/>
    <n v="1.2175"/>
    <n v="1.2175"/>
    <n v="1.1499999999999999"/>
    <n v="1.1499999999999999"/>
    <n v="1.125"/>
    <n v="1.125"/>
    <n v="1"/>
    <n v="1"/>
    <n v="0.9375"/>
    <n v="0.9375"/>
  </r>
  <r>
    <m/>
    <m/>
    <x v="42"/>
    <n v="117.8125"/>
    <x v="36"/>
    <n v="115.12447622612474"/>
    <x v="36"/>
    <x v="36"/>
    <n v="82.07770964859958"/>
    <n v="80.537607742022402"/>
    <n v="71.980988619934919"/>
    <n v="71.205986074888585"/>
    <n v="65.283536416041088"/>
    <n v="55.901562500000004"/>
    <n v="50.810806590157455"/>
    <n v="51.217705680823215"/>
    <n v="45.258862586631395"/>
    <n v="46.04819175100738"/>
    <n v="43.073185638720375"/>
  </r>
  <r>
    <m/>
    <m/>
    <x v="43"/>
    <n v="1.4317491319444444"/>
    <x v="37"/>
    <n v="1.3990821763591548"/>
    <x v="37"/>
    <x v="37"/>
    <n v="0.85497614217291229"/>
    <n v="0.83865376950807358"/>
    <n v="0.74955203080272514"/>
    <n v="0.7417290216134228"/>
    <n v="0.68003683766709466"/>
    <n v="0.4852566189236111"/>
    <n v="0.44106602942845013"/>
    <n v="0.44459813959047928"/>
    <n v="0.39287207106450861"/>
    <n v="0.39988377628218558"/>
    <n v="0.37404874056402654"/>
  </r>
  <r>
    <m/>
    <m/>
    <x v="44"/>
    <n v="4.625"/>
    <x v="38"/>
    <n v="4.5"/>
    <x v="38"/>
    <x v="38"/>
    <n v="4.25"/>
    <n v="4.125"/>
    <n v="4"/>
    <n v="3.875"/>
    <n v="3.875"/>
    <n v="3.75"/>
    <n v="3.75"/>
    <n v="3.625"/>
    <n v="3.5"/>
    <n v="3.375"/>
    <n v="3.25"/>
  </r>
  <r>
    <m/>
    <m/>
    <x v="45"/>
    <n v="0.26250000000000001"/>
    <x v="39"/>
    <n v="0.29375000000000001"/>
    <x v="39"/>
    <x v="39"/>
    <n v="0.2"/>
    <n v="0.24100000000000002"/>
    <n v="0.24100000000000002"/>
    <n v="0.27500000000000002"/>
    <n v="0.27500000000000002"/>
    <n v="0.1875"/>
    <n v="0.1875"/>
    <n v="0.21875"/>
    <n v="0.21875"/>
    <n v="0.25024999999999997"/>
    <n v="0.25024999999999997"/>
  </r>
  <r>
    <m/>
    <m/>
    <x v="46"/>
    <n v="0.75"/>
    <x v="40"/>
    <n v="0.75"/>
    <x v="40"/>
    <x v="34"/>
    <n v="0.75"/>
    <n v="0.75"/>
    <n v="0.75"/>
    <n v="0.6875"/>
    <n v="0.6875"/>
    <n v="0.6875"/>
    <n v="0.6875"/>
    <n v="0.625"/>
    <n v="0.625"/>
    <n v="0.5625"/>
    <n v="0.5625"/>
  </r>
  <r>
    <m/>
    <m/>
    <x v="47"/>
    <n v="4.375"/>
    <x v="17"/>
    <n v="4.125"/>
    <x v="17"/>
    <x v="17"/>
    <n v="3.75"/>
    <n v="3.625"/>
    <n v="3.5"/>
    <n v="3.375"/>
    <n v="3.25"/>
    <n v="3.125"/>
    <n v="3"/>
    <n v="2.875"/>
    <n v="2.75"/>
    <n v="2.625"/>
    <n v="2.5"/>
  </r>
  <r>
    <m/>
    <s v="H"/>
    <x v="48"/>
    <n v="23.8"/>
    <x v="41"/>
    <n v="24.244476200310274"/>
    <x v="41"/>
    <x v="40"/>
    <n v="19.919867087551864"/>
    <n v="19.642284168381046"/>
    <n v="17.100289571041909"/>
    <n v="17.391915543964345"/>
    <n v="15.667731653133149"/>
    <n v="16.235833333333332"/>
    <n v="14.624497748631413"/>
    <n v="14.923506926027891"/>
    <n v="12.790471461573867"/>
    <n v="13.214488100155137"/>
    <n v="12.584584020837923"/>
  </r>
  <r>
    <m/>
    <s v="I"/>
    <x v="49"/>
    <n v="21.9"/>
    <x v="42"/>
    <n v="22.488476200310274"/>
    <x v="42"/>
    <x v="41"/>
    <n v="18.429867087551862"/>
    <n v="18.248284168381048"/>
    <n v="15.803289571041908"/>
    <n v="16.120915543964347"/>
    <n v="14.480731653133148"/>
    <n v="15.125833333333334"/>
    <n v="13.521497748631411"/>
    <n v="13.891506926027891"/>
    <n v="11.824471461573868"/>
    <n v="12.310488100155137"/>
    <n v="11.727584020837924"/>
  </r>
  <r>
    <m/>
    <s v="J"/>
    <x v="50"/>
    <n v="20.100000000000001"/>
    <x v="43"/>
    <n v="20.731476200310276"/>
    <x v="43"/>
    <x v="42"/>
    <n v="16.943867087551865"/>
    <n v="16.862284168381048"/>
    <n v="14.503289571041908"/>
    <n v="14.846915543964347"/>
    <n v="13.288731653133148"/>
    <n v="14.011833333333335"/>
    <n v="12.420497748631412"/>
    <n v="12.860506926027892"/>
    <n v="10.859471461573868"/>
    <n v="11.407488100155136"/>
    <n v="10.869584020837923"/>
  </r>
  <r>
    <m/>
    <s v="K"/>
    <x v="51"/>
    <n v="17.7"/>
    <x v="44"/>
    <n v="18.629476200310272"/>
    <x v="44"/>
    <x v="43"/>
    <n v="15.429867087551862"/>
    <n v="15.402284168381048"/>
    <n v="13.095289571041908"/>
    <n v="13.643915543964347"/>
    <n v="12.129731653133149"/>
    <n v="12.896833333333333"/>
    <n v="11.548497748631412"/>
    <n v="12.022506926027891"/>
    <n v="10.054471461573868"/>
    <n v="10.635488100155136"/>
    <n v="10.160584020837923"/>
  </r>
  <r>
    <m/>
    <s v="L"/>
    <x v="52"/>
    <n v="16.8"/>
    <x v="45"/>
    <n v="17.318476200310272"/>
    <x v="45"/>
    <x v="44"/>
    <n v="14.284867087551863"/>
    <n v="14.330284168381048"/>
    <n v="12.091289571041909"/>
    <n v="12.665915543964347"/>
    <n v="11.215731653133147"/>
    <n v="12.042833333333334"/>
    <n v="10.706497748631412"/>
    <n v="11.23150692602789"/>
    <n v="9.3164714615738689"/>
    <n v="9.9454881001551367"/>
    <n v="9.4725840208379228"/>
  </r>
  <r>
    <m/>
    <s v="M"/>
    <x v="53"/>
    <n v="15.6"/>
    <x v="46"/>
    <n v="16.006476200310274"/>
    <x v="46"/>
    <x v="45"/>
    <n v="13.140867087551863"/>
    <n v="13.261284168381048"/>
    <n v="11.093289571041907"/>
    <n v="11.692915543964347"/>
    <n v="10.303731653133148"/>
    <n v="11.188833333333335"/>
    <n v="9.8654977486314124"/>
    <n v="10.44650692602789"/>
    <n v="8.5784714615738675"/>
    <n v="9.2534881001551366"/>
    <n v="8.7835840208379228"/>
  </r>
  <r>
    <m/>
    <s v="X"/>
    <x v="54"/>
    <n v="1.9000000000000021"/>
    <x v="47"/>
    <n v="1.7560000000000002"/>
    <x v="47"/>
    <x v="46"/>
    <n v="1.490000000000002"/>
    <n v="1.3939999999999984"/>
    <n v="1.2970000000000006"/>
    <n v="1.2709999999999972"/>
    <n v="1.1870000000000012"/>
    <n v="1.1099999999999977"/>
    <n v="1.1030000000000015"/>
    <n v="1.032"/>
    <n v="0.9659999999999993"/>
    <n v="0.90399999999999991"/>
    <n v="0.85699999999999932"/>
  </r>
  <r>
    <m/>
    <s v="Y"/>
    <x v="55"/>
    <n v="1.7999999999999972"/>
    <x v="48"/>
    <n v="1.7569999999999979"/>
    <x v="48"/>
    <x v="47"/>
    <n v="1.4859999999999971"/>
    <n v="1.3859999999999992"/>
    <n v="1.3000000000000007"/>
    <n v="1.2740000000000009"/>
    <n v="1.1920000000000002"/>
    <n v="1.113999999999999"/>
    <n v="1.1009999999999991"/>
    <n v="1.0309999999999988"/>
    <n v="0.96499999999999986"/>
    <n v="0.90300000000000047"/>
    <n v="0.85800000000000054"/>
  </r>
  <r>
    <m/>
    <s v="Z"/>
    <x v="56"/>
    <n v="2.4000000000000021"/>
    <x v="49"/>
    <n v="2.1020000000000039"/>
    <x v="49"/>
    <x v="48"/>
    <n v="1.5140000000000029"/>
    <n v="1.4600000000000009"/>
    <n v="1.4079999999999995"/>
    <n v="1.2029999999999994"/>
    <n v="1.1589999999999989"/>
    <n v="1.115000000000002"/>
    <n v="0.87199999999999989"/>
    <n v="0.83800000000000097"/>
    <n v="0.80499999999999972"/>
    <n v="0.77200000000000024"/>
    <n v="0.70899999999999963"/>
  </r>
  <r>
    <m/>
    <s v="AA"/>
    <x v="57"/>
    <n v="0.89999999999999858"/>
    <x v="50"/>
    <n v="1.3109999999999999"/>
    <x v="50"/>
    <x v="49"/>
    <n v="1.1449999999999996"/>
    <n v="1.0719999999999992"/>
    <n v="1.0039999999999996"/>
    <n v="0.97799999999999976"/>
    <n v="0.91400000000000148"/>
    <n v="0.8539999999999992"/>
    <n v="0.84200000000000053"/>
    <n v="0.79100000000000037"/>
    <n v="0.73799999999999955"/>
    <n v="0.6899999999999995"/>
    <n v="0.68800000000000061"/>
  </r>
  <r>
    <m/>
    <s v="BB"/>
    <x v="58"/>
    <n v="1.2000000000000011"/>
    <x v="51"/>
    <n v="1.3119999999999976"/>
    <x v="51"/>
    <x v="50"/>
    <n v="1.1440000000000001"/>
    <n v="1.0690000000000008"/>
    <n v="0.99800000000000111"/>
    <n v="0.97300000000000075"/>
    <n v="0.91199999999999903"/>
    <n v="0.8539999999999992"/>
    <n v="0.8409999999999993"/>
    <n v="0.78500000000000014"/>
    <n v="0.73800000000000132"/>
    <n v="0.69200000000000017"/>
    <n v="0.68900000000000006"/>
  </r>
  <r>
    <m/>
    <m/>
    <x v="59"/>
    <n v="27.439680518722454"/>
    <x v="52"/>
    <n v="24.445976200310273"/>
    <x v="52"/>
    <x v="51"/>
    <n v="20.556533754218531"/>
    <n v="19.402784168381046"/>
    <n v="18.313789571041909"/>
    <n v="17.285915543964347"/>
    <n v="16.315731653133149"/>
    <n v="15.4"/>
    <n v="14.535664415298079"/>
    <n v="13.719840259361225"/>
    <n v="12.949804794907202"/>
    <n v="12.222988100155137"/>
    <n v="11.536964491950448"/>
  </r>
  <r>
    <m/>
    <m/>
    <x v="60"/>
    <n v="0.33333333333333331"/>
    <x v="53"/>
    <n v="0.3125"/>
    <x v="53"/>
    <x v="52"/>
    <n v="0.29166666666666669"/>
    <n v="0.27250000000000002"/>
    <n v="0.27250000000000002"/>
    <n v="0.25"/>
    <n v="0.25"/>
    <n v="0.22916666666666666"/>
    <n v="0.22916666666666666"/>
    <n v="0.20833333333333334"/>
    <n v="0.20833333333333334"/>
    <n v="0.1875"/>
    <n v="0.1875"/>
  </r>
  <r>
    <m/>
    <m/>
    <x v="61"/>
    <n v="3.5"/>
    <x v="54"/>
    <n v="1.5"/>
    <x v="15"/>
    <x v="53"/>
    <n v="2.5"/>
    <n v="1.6"/>
    <n v="3"/>
    <n v="2"/>
    <n v="2.8"/>
    <n v="1.25"/>
    <n v="2.2000000000000002"/>
    <n v="1"/>
    <n v="2.25"/>
    <n v="1"/>
    <n v="1.1968804711125258"/>
  </r>
  <r>
    <m/>
    <m/>
    <x v="62"/>
    <n v="0.78537500000000005"/>
    <x v="55"/>
    <n v="0.69027099609375009"/>
    <x v="54"/>
    <x v="54"/>
    <n v="0.60130273437500004"/>
    <n v="0.52487102109375006"/>
    <n v="0.52487102109375006"/>
    <n v="0.44177343750000003"/>
    <n v="0.44177343750000003"/>
    <n v="0.37121240234375003"/>
    <n v="0.37121240234375003"/>
    <n v="0.30678710937500003"/>
    <n v="0.30678710937500003"/>
    <n v="0.24849755859375"/>
    <n v="0.24849755859375"/>
  </r>
  <r>
    <m/>
    <m/>
    <x v="63"/>
    <n v="18.063625000000002"/>
    <x v="56"/>
    <n v="15.623232161852359"/>
    <x v="55"/>
    <x v="55"/>
    <n v="10.682063155553378"/>
    <n v="9.2011381515217607"/>
    <n v="7.8947370157195396"/>
    <n v="6.6424680958168114"/>
    <n v="5.860447873357189"/>
    <n v="5.1675859842936207"/>
    <n v="4.4940821132386679"/>
    <n v="3.8383690437613889"/>
    <n v="3.2186482027865533"/>
    <n v="2.7422918507789324"/>
    <n v="2.5228923425961418"/>
  </r>
  <r>
    <m/>
    <m/>
    <x v="64"/>
    <n v="0.73332328506617372"/>
    <x v="57"/>
    <n v="1.6373553948523067"/>
    <x v="56"/>
    <x v="56"/>
    <n v="1.4809250040316169"/>
    <n v="1.3064011358022212"/>
    <n v="1.2522689199027282"/>
    <n v="0.78202022245962244"/>
    <n v="0.69286188906356827"/>
    <n v="0.6735038710549528"/>
    <n v="0.65571306947727903"/>
    <n v="0.6197208409748356"/>
    <n v="0.47635635200762083"/>
    <n v="0.21939950818279064"/>
    <s v="?"/>
  </r>
  <r>
    <m/>
    <s v="D"/>
    <x v="65"/>
    <n v="23"/>
    <x v="58"/>
    <n v="22.633476200310273"/>
    <x v="57"/>
    <x v="57"/>
    <n v="17.764867087551863"/>
    <n v="17.530284168381048"/>
    <n v="15.041289571041908"/>
    <n v="15.035915543964347"/>
    <n v="13.265731653133148"/>
    <n v="13.920833333333334"/>
    <n v="12.106497748631412"/>
    <n v="12.511506926027891"/>
    <n v="10.491471461573868"/>
    <n v="11.035488100155137"/>
    <n v="10.152584020837923"/>
  </r>
  <r>
    <m/>
    <m/>
    <x v="66"/>
    <n v="0.93372374351892162"/>
    <x v="59"/>
    <n v="2.3720472164093742"/>
    <x v="58"/>
    <x v="58"/>
    <n v="0.23458291917081553"/>
    <n v="2.4889945973391399"/>
    <n v="5.3740270775612942E-3"/>
    <n v="1.7701838908311984"/>
    <n v="-0.65510168020018611"/>
    <n v="1.8143355847019222"/>
    <n v="-0.40500917739647946"/>
    <n v="2.0200354644540237"/>
    <n v="-0.54401663858126881"/>
    <n v="0.88290407931721404"/>
    <n v="10.152584020837923"/>
  </r>
  <r>
    <m/>
    <m/>
    <x v="67"/>
    <m/>
    <x v="14"/>
    <m/>
    <x v="14"/>
    <x v="14"/>
    <m/>
    <m/>
    <m/>
    <m/>
    <m/>
    <n v="8311"/>
    <n v="8311"/>
    <n v="8311"/>
    <n v="8311"/>
    <n v="8311"/>
    <n v="8311"/>
  </r>
  <r>
    <m/>
    <m/>
    <x v="68"/>
    <s v="23:1"/>
    <x v="60"/>
    <s v="24.2:1"/>
    <x v="59"/>
    <x v="59"/>
    <s v="20.4:1"/>
    <s v="21.5:1"/>
    <s v="18.4:1"/>
    <s v="20.1:1"/>
    <s v="17.7:1"/>
    <s v="20.3:1"/>
    <s v="17.7:1"/>
    <s v="20.1:1"/>
    <s v="16.8:1"/>
    <s v="19.7:1"/>
    <s v="18.1:1"/>
  </r>
  <r>
    <m/>
    <m/>
    <x v="14"/>
    <m/>
    <x v="14"/>
    <m/>
    <x v="14"/>
    <x v="14"/>
    <m/>
    <m/>
    <m/>
    <m/>
    <m/>
    <m/>
    <m/>
    <m/>
    <m/>
    <m/>
    <m/>
  </r>
  <r>
    <s v="Measured Results from Batch"/>
    <m/>
    <x v="1"/>
    <m/>
    <x v="14"/>
    <m/>
    <x v="14"/>
    <x v="14"/>
    <m/>
    <m/>
    <m/>
    <m/>
    <m/>
    <m/>
    <m/>
    <m/>
    <m/>
    <m/>
    <m/>
  </r>
  <r>
    <m/>
    <m/>
    <x v="3"/>
    <m/>
    <x v="14"/>
    <m/>
    <x v="14"/>
    <x v="14"/>
    <m/>
    <m/>
    <m/>
    <m/>
    <m/>
    <m/>
    <m/>
    <m/>
    <m/>
    <m/>
    <m/>
  </r>
  <r>
    <m/>
    <m/>
    <x v="5"/>
    <m/>
    <x v="14"/>
    <m/>
    <x v="14"/>
    <x v="14"/>
    <m/>
    <m/>
    <m/>
    <m/>
    <m/>
    <m/>
    <m/>
    <m/>
    <m/>
    <m/>
    <m/>
  </r>
  <r>
    <m/>
    <m/>
    <x v="7"/>
    <m/>
    <x v="14"/>
    <m/>
    <x v="14"/>
    <x v="14"/>
    <m/>
    <m/>
    <m/>
    <m/>
    <m/>
    <m/>
    <m/>
    <m/>
    <m/>
    <m/>
    <m/>
  </r>
  <r>
    <m/>
    <m/>
    <x v="9"/>
    <m/>
    <x v="14"/>
    <m/>
    <x v="14"/>
    <x v="14"/>
    <m/>
    <m/>
    <m/>
    <m/>
    <m/>
    <m/>
    <m/>
    <m/>
    <m/>
    <m/>
    <m/>
  </r>
  <r>
    <m/>
    <m/>
    <x v="11"/>
    <m/>
    <x v="14"/>
    <m/>
    <x v="14"/>
    <x v="14"/>
    <m/>
    <m/>
    <m/>
    <m/>
    <m/>
    <m/>
    <m/>
    <m/>
    <m/>
    <m/>
    <m/>
  </r>
  <r>
    <m/>
    <m/>
    <x v="13"/>
    <m/>
    <x v="14"/>
    <m/>
    <x v="14"/>
    <x v="14"/>
    <m/>
    <m/>
    <m/>
    <m/>
    <m/>
    <m/>
    <m/>
    <m/>
    <m/>
    <m/>
    <m/>
  </r>
  <r>
    <m/>
    <m/>
    <x v="14"/>
    <m/>
    <x v="14"/>
    <m/>
    <x v="14"/>
    <x v="14"/>
    <m/>
    <m/>
    <m/>
    <m/>
    <m/>
    <m/>
    <m/>
    <m/>
    <m/>
    <m/>
    <m/>
  </r>
  <r>
    <s v="Difference from perfect"/>
    <m/>
    <x v="1"/>
    <n v="246.94165062806201"/>
    <x v="1"/>
    <n v="277.18263097687208"/>
    <x v="1"/>
    <x v="1"/>
    <n v="329.62755691286992"/>
    <n v="349.22823143300388"/>
    <n v="369.99442271163434"/>
    <n v="391.99543598174927"/>
    <n v="415.30469757994513"/>
    <n v="440"/>
    <n v="466.16376151808993"/>
    <n v="493.88330125612413"/>
    <n v="523.25113060119736"/>
    <n v="554.36526195374415"/>
    <n v="587.32953583481515"/>
  </r>
  <r>
    <m/>
    <m/>
    <x v="3"/>
    <n v="293.66476791740752"/>
    <x v="3"/>
    <n v="329.62755691286992"/>
    <x v="3"/>
    <x v="3"/>
    <n v="391.99543598174927"/>
    <n v="415.30469757994513"/>
    <n v="440"/>
    <n v="466.16376151808993"/>
    <n v="493.88330125612413"/>
    <n v="523.25113060119736"/>
    <n v="554.36526195374415"/>
    <n v="587.32953583481515"/>
    <n v="622.25396744416184"/>
    <n v="659.25511382573995"/>
    <n v="698.45646286600777"/>
  </r>
  <r>
    <m/>
    <m/>
    <x v="5"/>
    <n v="329.62755691286992"/>
    <x v="5"/>
    <n v="369.99442271163434"/>
    <x v="5"/>
    <x v="5"/>
    <n v="440"/>
    <n v="466.16376151808993"/>
    <n v="493.88330125612413"/>
    <n v="523.25113060119736"/>
    <n v="554.36526195374415"/>
    <n v="587.32953583481515"/>
    <n v="622.25396744416184"/>
    <n v="659.25511382573995"/>
    <n v="698.45646286600777"/>
    <n v="739.98884542326891"/>
    <n v="783.99087196349865"/>
  </r>
  <r>
    <m/>
    <m/>
    <x v="7"/>
    <n v="369.99442271163434"/>
    <x v="7"/>
    <n v="415.30469757994513"/>
    <x v="7"/>
    <x v="7"/>
    <n v="493.88330125612413"/>
    <n v="523.25113060119736"/>
    <n v="554.36526195374415"/>
    <n v="587.32953583481515"/>
    <n v="622.25396744416184"/>
    <n v="659.25511382573995"/>
    <n v="698.45646286600777"/>
    <n v="739.98884542326891"/>
    <n v="783.99087196349865"/>
    <n v="830.60939515989048"/>
    <n v="880"/>
  </r>
  <r>
    <m/>
    <m/>
    <x v="9"/>
    <n v="391.99543598174927"/>
    <x v="9"/>
    <n v="440"/>
    <x v="9"/>
    <x v="9"/>
    <n v="523.25113060119736"/>
    <n v="554.36526195374415"/>
    <n v="587.32953583481515"/>
    <n v="622.25396744416184"/>
    <n v="659.25511382573995"/>
    <n v="698.45646286600777"/>
    <n v="739.98884542326891"/>
    <n v="783.99087196349865"/>
    <n v="830.60939515989048"/>
    <n v="880"/>
    <n v="932.32752303617985"/>
  </r>
  <r>
    <m/>
    <m/>
    <x v="11"/>
    <n v="440"/>
    <x v="11"/>
    <n v="493.88330125612413"/>
    <x v="11"/>
    <x v="11"/>
    <n v="587.32953583481515"/>
    <n v="622.25396744416184"/>
    <n v="659.25511382573995"/>
    <n v="698.45646286600777"/>
    <n v="739.98884542326891"/>
    <n v="783.99087196349865"/>
    <n v="830.60939515989048"/>
    <n v="880"/>
    <n v="932.32752303617985"/>
    <n v="987.76660251224848"/>
    <n v="1046.5022612023947"/>
  </r>
  <r>
    <m/>
    <m/>
    <x v="13"/>
    <n v="493.88330125612413"/>
    <x v="13"/>
    <n v="554.36526195374415"/>
    <x v="13"/>
    <x v="13"/>
    <n v="659.25511382573995"/>
    <n v="698.45646286600777"/>
    <n v="739.98884542326891"/>
    <n v="783.99087196349865"/>
    <n v="830.60939515989048"/>
    <n v="880"/>
    <n v="932.32752303617985"/>
    <n v="987.76660251224848"/>
    <n v="1046.5022612023947"/>
    <n v="1108.7305239074885"/>
    <n v="1174.6590716696305"/>
  </r>
  <r>
    <m/>
    <m/>
    <x v="14"/>
    <m/>
    <x v="14"/>
    <m/>
    <x v="14"/>
    <x v="14"/>
    <m/>
    <m/>
    <m/>
    <m/>
    <m/>
    <m/>
    <m/>
    <m/>
    <m/>
    <m/>
    <m/>
  </r>
  <r>
    <m/>
    <m/>
    <x v="14"/>
    <m/>
    <x v="14"/>
    <s v="Contraction"/>
    <x v="14"/>
    <x v="60"/>
    <m/>
    <m/>
    <m/>
    <m/>
    <m/>
    <m/>
    <m/>
    <m/>
    <m/>
    <m/>
    <m/>
  </r>
  <r>
    <m/>
    <m/>
    <x v="14"/>
    <m/>
    <x v="61"/>
    <s v="Min"/>
    <x v="60"/>
    <x v="61"/>
    <s v="Max"/>
    <s v="Spigot Length"/>
    <s v="Own"/>
    <s v="URL"/>
    <m/>
    <m/>
    <m/>
    <m/>
    <m/>
    <m/>
    <m/>
  </r>
  <r>
    <m/>
    <m/>
    <x v="69"/>
    <m/>
    <x v="62"/>
    <n v="0.63"/>
    <x v="61"/>
    <x v="62"/>
    <n v="1.6140000000000001"/>
    <n v="0.35399999999999998"/>
    <s v="NO"/>
    <s v="https://www.teknatool.com/products/chuck-accessories/nova-jaw-accessories/nova-infinity-accessory-jaw-bowl-jaw-series-1/"/>
    <m/>
    <m/>
    <m/>
    <m/>
    <m/>
    <m/>
    <m/>
  </r>
  <r>
    <m/>
    <m/>
    <x v="70"/>
    <m/>
    <x v="62"/>
    <n v="1.22"/>
    <x v="62"/>
    <x v="63"/>
    <n v="2.2829999999999999"/>
    <n v="0.35399999999999998"/>
    <s v="NO"/>
    <s v="https://www.teknatool.com/products/chuck-accessories/nova-jaw-accessories/nova-infinity-accessory-jaw-bowl-jaw-series-2/"/>
    <m/>
    <m/>
    <m/>
    <m/>
    <m/>
    <m/>
    <m/>
  </r>
  <r>
    <m/>
    <m/>
    <x v="71"/>
    <m/>
    <x v="62"/>
    <n v="1.8109999999999999"/>
    <x v="63"/>
    <x v="64"/>
    <n v="2.95"/>
    <n v="0.49199999999999999"/>
    <s v="YES"/>
    <s v="https://www.teknatool.com/products/chuck-accessories/nova-jaw-accessories/nova-infinity-accessory-jaw-bowl-jaw-series-3/"/>
    <m/>
    <m/>
    <m/>
    <m/>
    <m/>
    <m/>
    <m/>
  </r>
  <r>
    <m/>
    <m/>
    <x v="72"/>
    <m/>
    <x v="63"/>
    <n v="2.4"/>
    <x v="64"/>
    <x v="65"/>
    <n v="4.13"/>
    <n v="0.49199999999999999"/>
    <s v="NO"/>
    <s v="https://www.teknatool.com/products/chuck-accessories/nova-jaw-accessories/nova-infinity-accessory-jaw-bowl-jaw-series-4/"/>
    <m/>
    <m/>
    <m/>
    <m/>
    <m/>
    <m/>
    <m/>
  </r>
  <r>
    <m/>
    <m/>
    <x v="73"/>
    <m/>
    <x v="63"/>
    <n v="2.992"/>
    <x v="65"/>
    <x v="66"/>
    <n v="4.8029999999999999"/>
    <s v="?"/>
    <s v="NO"/>
    <s v="https://www.teknatool.com/products/chuck-accessories/nova-jaw-accessories/nova-infinity-accessory-jaw-bowl-jaw-series-5/"/>
    <m/>
    <m/>
    <m/>
    <m/>
    <m/>
    <m/>
    <m/>
  </r>
  <r>
    <m/>
    <m/>
    <x v="74"/>
    <m/>
    <x v="64"/>
    <n v="3.5030000000000001"/>
    <x v="66"/>
    <x v="67"/>
    <n v="5.4720000000000004"/>
    <s v="?"/>
    <s v="NO"/>
    <s v="https://www.teknatool.com/products/chuck-accessories/nova-jaw-accessories/nova-infinity-accessory-jaw-bowl-jaw-series-6/"/>
    <m/>
    <m/>
    <m/>
    <m/>
    <m/>
    <m/>
    <m/>
  </r>
  <r>
    <m/>
    <m/>
    <x v="75"/>
    <m/>
    <x v="64"/>
    <n v="4.016"/>
    <x v="67"/>
    <x v="68"/>
    <n v="6.141"/>
    <n v="1"/>
    <s v="YES"/>
    <s v="https://www.teknatool.com/products/chuck-accessories/nova-jaw-accessories/nova-infinity-accessory-jaw-bowl-jaw-series-7/"/>
    <m/>
    <m/>
    <m/>
    <m/>
    <m/>
    <m/>
    <m/>
  </r>
  <r>
    <m/>
    <m/>
    <x v="76"/>
    <m/>
    <x v="65"/>
    <n v="1.1419999999999999"/>
    <x v="68"/>
    <x v="69"/>
    <n v="2.1970000000000001"/>
    <n v="1"/>
    <s v="YES"/>
    <s v="https://www.teknatool.com/products/shopnovapartsdirect/factory-refurbished/nova-infinity-accessory-jaw-saw-tooth-series-1-8311-r/"/>
    <m/>
    <m/>
    <m/>
    <m/>
    <m/>
    <m/>
    <m/>
  </r>
  <r>
    <m/>
    <m/>
    <x v="77"/>
    <m/>
    <x v="65"/>
    <n v="1.8109999999999999"/>
    <x v="63"/>
    <x v="70"/>
    <n v="2.8660000000000001"/>
    <n v="1.1200000000000001"/>
    <s v="NO"/>
    <s v="https://www.teknatool.com/products/shopnovapartsdirect/sale/nova-infinity-accessory-jaw-saw-tooth-series-2-8312-r/"/>
    <m/>
    <m/>
    <m/>
    <m/>
    <m/>
    <m/>
    <m/>
  </r>
  <r>
    <m/>
    <m/>
    <x v="78"/>
    <m/>
    <x v="63"/>
    <n v="2.48"/>
    <x v="69"/>
    <x v="71"/>
    <n v="4.0469999999999997"/>
    <s v="?"/>
    <s v="NO"/>
    <s v="https://www.teknatool.com/products/chuck-accessories/nova-jaw-accessories/nova-infinity-accessory-jaw-saw-tooth-series-3/"/>
    <m/>
    <m/>
    <m/>
    <m/>
    <m/>
    <m/>
    <m/>
  </r>
  <r>
    <m/>
    <m/>
    <x v="14"/>
    <m/>
    <x v="14"/>
    <m/>
    <x v="14"/>
    <x v="14"/>
    <m/>
    <m/>
    <m/>
    <m/>
    <m/>
    <m/>
    <m/>
    <m/>
    <m/>
    <m/>
    <m/>
  </r>
  <r>
    <m/>
    <m/>
    <x v="14"/>
    <m/>
    <x v="14"/>
    <m/>
    <x v="14"/>
    <x v="14"/>
    <m/>
    <m/>
    <m/>
    <m/>
    <m/>
    <m/>
    <m/>
    <m/>
    <m/>
    <m/>
    <m/>
  </r>
  <r>
    <m/>
    <m/>
    <x v="14"/>
    <m/>
    <x v="14"/>
    <m/>
    <x v="14"/>
    <x v="14"/>
    <m/>
    <m/>
    <m/>
    <m/>
    <m/>
    <m/>
    <m/>
    <m/>
    <m/>
    <m/>
    <m/>
  </r>
  <r>
    <m/>
    <m/>
    <x v="14"/>
    <m/>
    <x v="14"/>
    <m/>
    <x v="14"/>
    <x v="14"/>
    <m/>
    <m/>
    <m/>
    <m/>
    <m/>
    <m/>
    <m/>
    <m/>
    <m/>
    <m/>
    <m/>
  </r>
  <r>
    <m/>
    <m/>
    <x v="14"/>
    <m/>
    <x v="14"/>
    <m/>
    <x v="14"/>
    <x v="14"/>
    <m/>
    <m/>
    <m/>
    <m/>
    <m/>
    <m/>
    <m/>
    <m/>
    <m/>
    <m/>
    <m/>
  </r>
  <r>
    <m/>
    <m/>
    <x v="14"/>
    <m/>
    <x v="14"/>
    <m/>
    <x v="14"/>
    <x v="14"/>
    <m/>
    <m/>
    <m/>
    <m/>
    <m/>
    <m/>
    <m/>
    <m/>
    <m/>
    <m/>
    <m/>
  </r>
  <r>
    <m/>
    <m/>
    <x v="14"/>
    <m/>
    <x v="14"/>
    <m/>
    <x v="14"/>
    <x v="14"/>
    <m/>
    <m/>
    <m/>
    <m/>
    <m/>
    <m/>
    <m/>
    <m/>
    <m/>
    <m/>
    <m/>
  </r>
  <r>
    <m/>
    <m/>
    <x v="14"/>
    <m/>
    <x v="14"/>
    <m/>
    <x v="14"/>
    <x v="14"/>
    <m/>
    <m/>
    <m/>
    <m/>
    <m/>
    <m/>
    <m/>
    <m/>
    <m/>
    <m/>
    <m/>
  </r>
  <r>
    <m/>
    <m/>
    <x v="79"/>
    <m/>
    <x v="14"/>
    <m/>
    <x v="14"/>
    <x v="14"/>
    <m/>
    <m/>
    <m/>
    <m/>
    <m/>
    <m/>
    <m/>
    <m/>
    <m/>
    <m/>
    <m/>
  </r>
  <r>
    <m/>
    <m/>
    <x v="14"/>
    <m/>
    <x v="14"/>
    <m/>
    <x v="14"/>
    <x v="14"/>
    <m/>
    <m/>
    <m/>
    <m/>
    <m/>
    <m/>
    <m/>
    <m/>
    <m/>
    <m/>
    <m/>
  </r>
  <r>
    <m/>
    <m/>
    <x v="14"/>
    <m/>
    <x v="14"/>
    <m/>
    <x v="14"/>
    <x v="14"/>
    <m/>
    <m/>
    <m/>
    <m/>
    <m/>
    <m/>
    <m/>
    <m/>
    <m/>
    <m/>
    <m/>
  </r>
  <r>
    <m/>
    <m/>
    <x v="14"/>
    <m/>
    <x v="14"/>
    <m/>
    <x v="14"/>
    <x v="14"/>
    <m/>
    <m/>
    <m/>
    <m/>
    <m/>
    <m/>
    <m/>
    <m/>
    <m/>
    <m/>
    <m/>
  </r>
  <r>
    <m/>
    <m/>
    <x v="14"/>
    <m/>
    <x v="14"/>
    <m/>
    <x v="14"/>
    <x v="14"/>
    <m/>
    <m/>
    <m/>
    <m/>
    <m/>
    <m/>
    <m/>
    <m/>
    <m/>
    <m/>
    <m/>
  </r>
  <r>
    <m/>
    <m/>
    <x v="14"/>
    <m/>
    <x v="14"/>
    <m/>
    <x v="14"/>
    <x v="14"/>
    <m/>
    <m/>
    <m/>
    <m/>
    <m/>
    <m/>
    <m/>
    <m/>
    <m/>
    <m/>
    <m/>
  </r>
  <r>
    <m/>
    <m/>
    <x v="14"/>
    <m/>
    <x v="14"/>
    <m/>
    <x v="14"/>
    <x v="14"/>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 Table 2" cacheId="15" applyNumberFormats="0" applyBorderFormats="0" applyFontFormats="0" applyPatternFormats="0" applyAlignmentFormats="0" applyWidthHeightFormats="0" dataCaption="" updatedVersion="8" compact="0" compactData="0">
  <location ref="A1:HG85" firstHeaderRow="1" firstDataRow="4" firstDataCol="1"/>
  <pivotFields count="19">
    <pivotField name=" " compact="0" outline="0" multipleItemSelectionAllowed="1" showAll="0"/>
    <pivotField name=" 2" compact="0" outline="0" multipleItemSelectionAllowed="1" showAll="0"/>
    <pivotField name="Piano Key #" axis="axisRow" compact="0" outline="0" multipleItemSelectionAllowed="1" showAll="0" sortType="ascending">
      <items count="81">
        <item x="59"/>
        <item x="43"/>
        <item x="38"/>
        <item x="40"/>
        <item x="39"/>
        <item x="62"/>
        <item x="20"/>
        <item x="64"/>
        <item x="63"/>
        <item x="68"/>
        <item x="54"/>
        <item x="55"/>
        <item x="56"/>
        <item x="57"/>
        <item x="58"/>
        <item x="19"/>
        <item x="22"/>
        <item x="23"/>
        <item x="1"/>
        <item x="0"/>
        <item x="48"/>
        <item x="26"/>
        <item x="32"/>
        <item x="3"/>
        <item x="2"/>
        <item x="49"/>
        <item x="27"/>
        <item x="33"/>
        <item x="5"/>
        <item x="4"/>
        <item x="50"/>
        <item x="28"/>
        <item x="34"/>
        <item x="7"/>
        <item x="6"/>
        <item x="51"/>
        <item x="29"/>
        <item x="35"/>
        <item x="9"/>
        <item x="8"/>
        <item x="52"/>
        <item x="30"/>
        <item x="36"/>
        <item x="11"/>
        <item x="10"/>
        <item x="53"/>
        <item x="31"/>
        <item x="37"/>
        <item x="13"/>
        <item x="12"/>
        <item x="60"/>
        <item x="61"/>
        <item x="67"/>
        <item x="65"/>
        <item x="66"/>
        <item x="16"/>
        <item x="15"/>
        <item x="44"/>
        <item x="79"/>
        <item x="69"/>
        <item x="70"/>
        <item x="71"/>
        <item x="72"/>
        <item x="73"/>
        <item x="74"/>
        <item x="75"/>
        <item x="76"/>
        <item x="77"/>
        <item x="78"/>
        <item x="25"/>
        <item x="17"/>
        <item x="24"/>
        <item x="18"/>
        <item x="45"/>
        <item x="47"/>
        <item x="46"/>
        <item x="42"/>
        <item x="41"/>
        <item x="21"/>
        <item x="14"/>
        <item t="default"/>
      </items>
    </pivotField>
    <pivotField name="39" compact="0" outline="0" multipleItemSelectionAllowed="1" showAll="0"/>
    <pivotField name="40" axis="axisCol" dataField="1" compact="0" outline="0" multipleItemSelectionAllowed="1" showAll="0" sortType="ascending">
      <items count="88">
        <item x="59"/>
        <item m="1" x="86"/>
        <item x="21"/>
        <item x="20"/>
        <item x="23"/>
        <item x="39"/>
        <item x="24"/>
        <item x="53"/>
        <item x="25"/>
        <item x="22"/>
        <item x="40"/>
        <item x="55"/>
        <item x="34"/>
        <item x="18"/>
        <item x="37"/>
        <item m="1" x="71"/>
        <item m="1" x="80"/>
        <item x="50"/>
        <item x="51"/>
        <item m="1" x="81"/>
        <item x="35"/>
        <item x="19"/>
        <item x="57"/>
        <item m="1" x="84"/>
        <item m="1" x="78"/>
        <item x="47"/>
        <item x="48"/>
        <item x="49"/>
        <item m="1" x="79"/>
        <item x="15"/>
        <item x="54"/>
        <item x="33"/>
        <item x="17"/>
        <item x="38"/>
        <item x="26"/>
        <item x="27"/>
        <item x="28"/>
        <item x="29"/>
        <item x="30"/>
        <item x="46"/>
        <item m="1" x="77"/>
        <item x="31"/>
        <item x="45"/>
        <item m="1" x="76"/>
        <item x="56"/>
        <item m="1" x="83"/>
        <item x="44"/>
        <item m="1" x="75"/>
        <item x="43"/>
        <item m="1" x="74"/>
        <item x="42"/>
        <item m="1" x="73"/>
        <item x="58"/>
        <item m="1" x="85"/>
        <item x="41"/>
        <item m="1" x="72"/>
        <item x="52"/>
        <item m="1" x="82"/>
        <item x="32"/>
        <item m="1" x="69"/>
        <item x="65"/>
        <item x="64"/>
        <item x="62"/>
        <item x="63"/>
        <item x="36"/>
        <item m="1" x="70"/>
        <item m="1" x="66"/>
        <item x="1"/>
        <item m="1" x="67"/>
        <item x="3"/>
        <item m="1" x="68"/>
        <item x="5"/>
        <item x="7"/>
        <item x="9"/>
        <item x="11"/>
        <item x="13"/>
        <item x="60"/>
        <item x="16"/>
        <item x="8"/>
        <item x="10"/>
        <item x="0"/>
        <item x="12"/>
        <item x="2"/>
        <item x="4"/>
        <item x="6"/>
        <item x="61"/>
        <item x="14"/>
        <item t="default"/>
      </items>
    </pivotField>
    <pivotField name="41" compact="0" outline="0" multipleItemSelectionAllowed="1" showAll="0"/>
    <pivotField name="42" axis="axisCol" compact="0" outline="0" multipleItemSelectionAllowed="1" showAll="0" sortType="ascending">
      <items count="87">
        <item x="58"/>
        <item x="22"/>
        <item x="21"/>
        <item x="24"/>
        <item x="39"/>
        <item x="53"/>
        <item x="25"/>
        <item x="26"/>
        <item x="23"/>
        <item x="54"/>
        <item x="40"/>
        <item x="18"/>
        <item x="61"/>
        <item x="20"/>
        <item m="1" x="82"/>
        <item x="51"/>
        <item x="50"/>
        <item x="37"/>
        <item m="1" x="75"/>
        <item x="35"/>
        <item x="68"/>
        <item x="62"/>
        <item x="19"/>
        <item x="48"/>
        <item x="47"/>
        <item x="56"/>
        <item x="49"/>
        <item m="1" x="81"/>
        <item x="63"/>
        <item x="15"/>
        <item x="64"/>
        <item x="69"/>
        <item x="34"/>
        <item x="65"/>
        <item x="17"/>
        <item x="66"/>
        <item x="38"/>
        <item x="67"/>
        <item x="27"/>
        <item x="28"/>
        <item x="29"/>
        <item x="30"/>
        <item x="31"/>
        <item x="32"/>
        <item x="55"/>
        <item m="1" x="84"/>
        <item x="46"/>
        <item m="1" x="80"/>
        <item x="45"/>
        <item m="1" x="79"/>
        <item x="44"/>
        <item x="43"/>
        <item m="1" x="78"/>
        <item x="42"/>
        <item m="1" x="77"/>
        <item x="57"/>
        <item m="1" x="85"/>
        <item x="41"/>
        <item m="1" x="76"/>
        <item x="52"/>
        <item m="1" x="83"/>
        <item x="33"/>
        <item m="1" x="73"/>
        <item x="36"/>
        <item m="1" x="74"/>
        <item m="1" x="70"/>
        <item x="1"/>
        <item m="1" x="71"/>
        <item x="3"/>
        <item x="5"/>
        <item x="7"/>
        <item x="9"/>
        <item x="11"/>
        <item x="13"/>
        <item m="1" x="72"/>
        <item x="59"/>
        <item x="16"/>
        <item x="6"/>
        <item x="8"/>
        <item x="10"/>
        <item x="0"/>
        <item x="12"/>
        <item x="2"/>
        <item x="4"/>
        <item x="60"/>
        <item x="14"/>
        <item t="default"/>
      </items>
    </pivotField>
    <pivotField name="43" axis="axisCol" compact="0" outline="0" multipleItemSelectionAllowed="1" showAll="0" sortType="ascending">
      <items count="90">
        <item x="21"/>
        <item x="24"/>
        <item x="39"/>
        <item x="20"/>
        <item x="23"/>
        <item x="52"/>
        <item x="25"/>
        <item x="22"/>
        <item x="54"/>
        <item x="34"/>
        <item x="18"/>
        <item x="37"/>
        <item x="53"/>
        <item x="50"/>
        <item x="49"/>
        <item m="1" x="84"/>
        <item x="35"/>
        <item x="62"/>
        <item x="19"/>
        <item x="47"/>
        <item m="1" x="82"/>
        <item x="46"/>
        <item m="1" x="87"/>
        <item x="56"/>
        <item x="69"/>
        <item m="1" x="83"/>
        <item x="48"/>
        <item x="63"/>
        <item x="15"/>
        <item x="70"/>
        <item x="64"/>
        <item x="58"/>
        <item x="33"/>
        <item x="71"/>
        <item x="65"/>
        <item x="17"/>
        <item x="66"/>
        <item x="38"/>
        <item x="67"/>
        <item x="68"/>
        <item x="26"/>
        <item x="27"/>
        <item x="28"/>
        <item x="29"/>
        <item x="30"/>
        <item x="55"/>
        <item m="1" x="86"/>
        <item x="31"/>
        <item x="45"/>
        <item m="1" x="81"/>
        <item x="44"/>
        <item m="1" x="80"/>
        <item x="43"/>
        <item m="1" x="79"/>
        <item x="42"/>
        <item x="41"/>
        <item m="1" x="78"/>
        <item x="57"/>
        <item m="1" x="88"/>
        <item x="51"/>
        <item m="1" x="85"/>
        <item x="40"/>
        <item m="1" x="77"/>
        <item x="32"/>
        <item m="1" x="75"/>
        <item x="36"/>
        <item m="1" x="76"/>
        <item m="1" x="72"/>
        <item x="1"/>
        <item x="3"/>
        <item x="5"/>
        <item x="7"/>
        <item x="9"/>
        <item x="11"/>
        <item m="1" x="73"/>
        <item x="13"/>
        <item m="1" x="74"/>
        <item x="59"/>
        <item x="16"/>
        <item x="4"/>
        <item x="8"/>
        <item x="6"/>
        <item x="10"/>
        <item x="0"/>
        <item x="12"/>
        <item x="60"/>
        <item x="2"/>
        <item x="61"/>
        <item x="14"/>
        <item t="default"/>
      </items>
    </pivotField>
    <pivotField name="44" compact="0" outline="0" multipleItemSelectionAllowed="1" showAll="0"/>
    <pivotField name="45" compact="0" outline="0" multipleItemSelectionAllowed="1" showAll="0"/>
    <pivotField name="46" compact="0" outline="0" multipleItemSelectionAllowed="1" showAll="0"/>
    <pivotField name="47" compact="0" outline="0" multipleItemSelectionAllowed="1" showAll="0"/>
    <pivotField name="48" compact="0" outline="0" multipleItemSelectionAllowed="1" showAll="0"/>
    <pivotField name="49" compact="0" outline="0" multipleItemSelectionAllowed="1" showAll="0"/>
    <pivotField name="50" compact="0" outline="0" multipleItemSelectionAllowed="1" showAll="0"/>
    <pivotField name="51" compact="0" outline="0" multipleItemSelectionAllowed="1" showAll="0"/>
    <pivotField name="52" compact="0" outline="0" multipleItemSelectionAllowed="1" showAll="0"/>
    <pivotField name="53" compact="0" outline="0" multipleItemSelectionAllowed="1" showAll="0"/>
    <pivotField name="54" compact="0" outline="0" multipleItemSelectionAllowed="1" showAll="0"/>
  </pivotFields>
  <rowFields count="1">
    <field x="2"/>
  </rowFields>
  <rowItems count="8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t="grand">
      <x/>
    </i>
  </rowItems>
  <colFields count="3">
    <field x="4"/>
    <field x="6"/>
    <field x="7"/>
  </colFields>
  <colItems count="214">
    <i>
      <x/>
      <x/>
      <x v="31"/>
    </i>
    <i t="default" r="1">
      <x/>
    </i>
    <i t="default">
      <x/>
    </i>
    <i>
      <x v="2"/>
      <x v="1"/>
      <x/>
    </i>
    <i t="default" r="1">
      <x v="1"/>
    </i>
    <i t="default">
      <x v="2"/>
    </i>
    <i>
      <x v="3"/>
      <x v="2"/>
      <x v="3"/>
    </i>
    <i t="default" r="1">
      <x v="2"/>
    </i>
    <i t="default">
      <x v="3"/>
    </i>
    <i>
      <x v="4"/>
      <x v="3"/>
      <x v="4"/>
    </i>
    <i t="default" r="1">
      <x v="3"/>
    </i>
    <i t="default">
      <x v="4"/>
    </i>
    <i>
      <x v="5"/>
      <x v="4"/>
      <x v="2"/>
    </i>
    <i t="default" r="1">
      <x v="4"/>
    </i>
    <i t="default">
      <x v="5"/>
    </i>
    <i>
      <x v="6"/>
      <x v="6"/>
      <x v="1"/>
    </i>
    <i t="default" r="1">
      <x v="6"/>
    </i>
    <i t="default">
      <x v="6"/>
    </i>
    <i>
      <x v="7"/>
      <x v="5"/>
      <x v="5"/>
    </i>
    <i t="default" r="1">
      <x v="5"/>
    </i>
    <i t="default">
      <x v="7"/>
    </i>
    <i>
      <x v="8"/>
      <x v="7"/>
      <x v="6"/>
    </i>
    <i t="default" r="1">
      <x v="7"/>
    </i>
    <i t="default">
      <x v="8"/>
    </i>
    <i>
      <x v="9"/>
      <x v="8"/>
      <x v="7"/>
    </i>
    <i t="default" r="1">
      <x v="8"/>
    </i>
    <i t="default">
      <x v="9"/>
    </i>
    <i>
      <x v="10"/>
      <x v="10"/>
      <x v="9"/>
    </i>
    <i t="default" r="1">
      <x v="10"/>
    </i>
    <i t="default">
      <x v="10"/>
    </i>
    <i>
      <x v="11"/>
      <x v="9"/>
      <x v="8"/>
    </i>
    <i t="default" r="1">
      <x v="9"/>
    </i>
    <i t="default">
      <x v="11"/>
    </i>
    <i>
      <x v="12"/>
      <x v="11"/>
      <x v="9"/>
    </i>
    <i t="default" r="1">
      <x v="11"/>
    </i>
    <i t="default">
      <x v="12"/>
    </i>
    <i>
      <x v="13"/>
      <x v="11"/>
      <x v="10"/>
    </i>
    <i t="default" r="1">
      <x v="11"/>
    </i>
    <i r="1">
      <x v="13"/>
      <x v="10"/>
    </i>
    <i t="default" r="1">
      <x v="13"/>
    </i>
    <i t="default">
      <x v="13"/>
    </i>
    <i>
      <x v="14"/>
      <x v="17"/>
      <x v="11"/>
    </i>
    <i t="default" r="1">
      <x v="17"/>
    </i>
    <i t="default">
      <x v="14"/>
    </i>
    <i>
      <x v="17"/>
      <x v="16"/>
      <x v="14"/>
    </i>
    <i t="default" r="1">
      <x v="16"/>
    </i>
    <i t="default">
      <x v="17"/>
    </i>
    <i>
      <x v="18"/>
      <x v="15"/>
      <x v="13"/>
    </i>
    <i t="default" r="1">
      <x v="15"/>
    </i>
    <i t="default">
      <x v="18"/>
    </i>
    <i>
      <x v="20"/>
      <x v="19"/>
      <x v="16"/>
    </i>
    <i t="default" r="1">
      <x v="19"/>
    </i>
    <i t="default">
      <x v="20"/>
    </i>
    <i>
      <x v="21"/>
      <x v="22"/>
      <x v="18"/>
    </i>
    <i t="default" r="1">
      <x v="22"/>
    </i>
    <i t="default">
      <x v="21"/>
    </i>
    <i>
      <x v="22"/>
      <x v="25"/>
      <x v="23"/>
    </i>
    <i t="default" r="1">
      <x v="25"/>
    </i>
    <i t="default">
      <x v="22"/>
    </i>
    <i>
      <x v="25"/>
      <x v="24"/>
      <x v="21"/>
    </i>
    <i t="default" r="1">
      <x v="24"/>
    </i>
    <i t="default">
      <x v="25"/>
    </i>
    <i>
      <x v="26"/>
      <x v="23"/>
      <x v="19"/>
    </i>
    <i t="default" r="1">
      <x v="23"/>
    </i>
    <i t="default">
      <x v="26"/>
    </i>
    <i>
      <x v="27"/>
      <x v="26"/>
      <x v="26"/>
    </i>
    <i t="default" r="1">
      <x v="26"/>
    </i>
    <i t="default">
      <x v="27"/>
    </i>
    <i>
      <x v="29"/>
      <x v="29"/>
      <x v="28"/>
    </i>
    <i t="default" r="1">
      <x v="29"/>
    </i>
    <i t="default">
      <x v="29"/>
    </i>
    <i>
      <x v="30"/>
      <x v="29"/>
      <x v="12"/>
    </i>
    <i t="default" r="1">
      <x v="29"/>
    </i>
    <i t="default">
      <x v="30"/>
    </i>
    <i>
      <x v="31"/>
      <x v="32"/>
      <x v="32"/>
    </i>
    <i t="default" r="1">
      <x v="32"/>
    </i>
    <i t="default">
      <x v="31"/>
    </i>
    <i>
      <x v="32"/>
      <x v="34"/>
      <x v="35"/>
    </i>
    <i t="default" r="1">
      <x v="34"/>
    </i>
    <i t="default">
      <x v="32"/>
    </i>
    <i>
      <x v="33"/>
      <x v="36"/>
      <x v="37"/>
    </i>
    <i t="default" r="1">
      <x v="36"/>
    </i>
    <i t="default">
      <x v="33"/>
    </i>
    <i>
      <x v="34"/>
      <x v="38"/>
      <x v="40"/>
    </i>
    <i t="default" r="1">
      <x v="38"/>
    </i>
    <i t="default">
      <x v="34"/>
    </i>
    <i>
      <x v="35"/>
      <x v="39"/>
      <x v="41"/>
    </i>
    <i t="default" r="1">
      <x v="39"/>
    </i>
    <i t="default">
      <x v="35"/>
    </i>
    <i>
      <x v="36"/>
      <x v="40"/>
      <x v="42"/>
    </i>
    <i t="default" r="1">
      <x v="40"/>
    </i>
    <i t="default">
      <x v="36"/>
    </i>
    <i>
      <x v="37"/>
      <x v="41"/>
      <x v="43"/>
    </i>
    <i t="default" r="1">
      <x v="41"/>
    </i>
    <i t="default">
      <x v="37"/>
    </i>
    <i>
      <x v="38"/>
      <x v="42"/>
      <x v="44"/>
    </i>
    <i t="default" r="1">
      <x v="42"/>
    </i>
    <i t="default">
      <x v="38"/>
    </i>
    <i>
      <x v="39"/>
      <x v="46"/>
      <x v="48"/>
    </i>
    <i t="default" r="1">
      <x v="46"/>
    </i>
    <i t="default">
      <x v="39"/>
    </i>
    <i>
      <x v="41"/>
      <x v="43"/>
      <x v="47"/>
    </i>
    <i t="default" r="1">
      <x v="43"/>
    </i>
    <i t="default">
      <x v="41"/>
    </i>
    <i>
      <x v="42"/>
      <x v="48"/>
      <x v="50"/>
    </i>
    <i t="default" r="1">
      <x v="48"/>
    </i>
    <i t="default">
      <x v="42"/>
    </i>
    <i>
      <x v="44"/>
      <x v="44"/>
      <x v="45"/>
    </i>
    <i t="default" r="1">
      <x v="44"/>
    </i>
    <i t="default">
      <x v="44"/>
    </i>
    <i>
      <x v="46"/>
      <x v="50"/>
      <x v="52"/>
    </i>
    <i t="default" r="1">
      <x v="50"/>
    </i>
    <i t="default">
      <x v="46"/>
    </i>
    <i>
      <x v="48"/>
      <x v="51"/>
      <x v="54"/>
    </i>
    <i t="default" r="1">
      <x v="51"/>
    </i>
    <i t="default">
      <x v="48"/>
    </i>
    <i>
      <x v="50"/>
      <x v="53"/>
      <x v="55"/>
    </i>
    <i t="default" r="1">
      <x v="53"/>
    </i>
    <i t="default">
      <x v="50"/>
    </i>
    <i>
      <x v="52"/>
      <x v="55"/>
      <x v="57"/>
    </i>
    <i t="default" r="1">
      <x v="55"/>
    </i>
    <i t="default">
      <x v="52"/>
    </i>
    <i>
      <x v="54"/>
      <x v="57"/>
      <x v="61"/>
    </i>
    <i t="default" r="1">
      <x v="57"/>
    </i>
    <i t="default">
      <x v="54"/>
    </i>
    <i>
      <x v="56"/>
      <x v="59"/>
      <x v="59"/>
    </i>
    <i t="default" r="1">
      <x v="59"/>
    </i>
    <i t="default">
      <x v="56"/>
    </i>
    <i>
      <x v="58"/>
      <x v="61"/>
      <x v="63"/>
    </i>
    <i t="default" r="1">
      <x v="61"/>
    </i>
    <i t="default">
      <x v="58"/>
    </i>
    <i>
      <x v="60"/>
      <x v="20"/>
      <x v="24"/>
    </i>
    <i t="default" r="1">
      <x v="20"/>
    </i>
    <i r="1">
      <x v="28"/>
      <x v="29"/>
    </i>
    <i t="default" r="1">
      <x v="28"/>
    </i>
    <i t="default">
      <x v="60"/>
    </i>
    <i>
      <x v="61"/>
      <x v="35"/>
      <x v="38"/>
    </i>
    <i t="default" r="1">
      <x v="35"/>
    </i>
    <i r="1">
      <x v="37"/>
      <x v="39"/>
    </i>
    <i t="default" r="1">
      <x v="37"/>
    </i>
    <i t="default">
      <x v="61"/>
    </i>
    <i>
      <x v="62"/>
      <x v="12"/>
      <x v="17"/>
    </i>
    <i t="default" r="1">
      <x v="12"/>
    </i>
    <i r="1">
      <x v="21"/>
      <x v="27"/>
    </i>
    <i t="default" r="1">
      <x v="21"/>
    </i>
    <i r="1">
      <x v="28"/>
      <x v="30"/>
    </i>
    <i t="default" r="1">
      <x v="28"/>
    </i>
    <i t="default">
      <x v="62"/>
    </i>
    <i>
      <x v="63"/>
      <x v="30"/>
      <x v="34"/>
    </i>
    <i t="default" r="1">
      <x v="30"/>
    </i>
    <i r="1">
      <x v="31"/>
      <x v="33"/>
    </i>
    <i t="default" r="1">
      <x v="31"/>
    </i>
    <i r="1">
      <x v="33"/>
      <x v="36"/>
    </i>
    <i t="default" r="1">
      <x v="33"/>
    </i>
    <i t="default">
      <x v="63"/>
    </i>
    <i>
      <x v="64"/>
      <x v="63"/>
      <x v="65"/>
    </i>
    <i t="default" r="1">
      <x v="63"/>
    </i>
    <i t="default">
      <x v="64"/>
    </i>
    <i>
      <x v="67"/>
      <x v="66"/>
      <x v="68"/>
    </i>
    <i t="default" r="1">
      <x v="66"/>
    </i>
    <i t="default">
      <x v="67"/>
    </i>
    <i>
      <x v="69"/>
      <x v="68"/>
      <x v="69"/>
    </i>
    <i t="default" r="1">
      <x v="68"/>
    </i>
    <i t="default">
      <x v="69"/>
    </i>
    <i>
      <x v="71"/>
      <x v="69"/>
      <x v="70"/>
    </i>
    <i t="default" r="1">
      <x v="69"/>
    </i>
    <i t="default">
      <x v="71"/>
    </i>
    <i>
      <x v="72"/>
      <x v="70"/>
      <x v="71"/>
    </i>
    <i t="default" r="1">
      <x v="70"/>
    </i>
    <i t="default">
      <x v="72"/>
    </i>
    <i>
      <x v="73"/>
      <x v="71"/>
      <x v="72"/>
    </i>
    <i t="default" r="1">
      <x v="71"/>
    </i>
    <i t="default">
      <x v="73"/>
    </i>
    <i>
      <x v="74"/>
      <x v="72"/>
      <x v="73"/>
    </i>
    <i t="default" r="1">
      <x v="72"/>
    </i>
    <i t="default">
      <x v="74"/>
    </i>
    <i>
      <x v="75"/>
      <x v="73"/>
      <x v="75"/>
    </i>
    <i t="default" r="1">
      <x v="73"/>
    </i>
    <i t="default">
      <x v="75"/>
    </i>
    <i>
      <x v="76"/>
      <x v="75"/>
      <x v="77"/>
    </i>
    <i t="default" r="1">
      <x v="75"/>
    </i>
    <i t="default">
      <x v="76"/>
    </i>
    <i>
      <x v="77"/>
      <x v="76"/>
      <x v="78"/>
    </i>
    <i t="default" r="1">
      <x v="76"/>
    </i>
    <i t="default">
      <x v="77"/>
    </i>
    <i>
      <x v="78"/>
      <x v="78"/>
      <x v="80"/>
    </i>
    <i t="default" r="1">
      <x v="78"/>
    </i>
    <i t="default">
      <x v="78"/>
    </i>
    <i>
      <x v="79"/>
      <x v="79"/>
      <x v="82"/>
    </i>
    <i t="default" r="1">
      <x v="79"/>
    </i>
    <i t="default">
      <x v="79"/>
    </i>
    <i>
      <x v="80"/>
      <x v="80"/>
      <x v="83"/>
    </i>
    <i t="default" r="1">
      <x v="80"/>
    </i>
    <i t="default">
      <x v="80"/>
    </i>
    <i>
      <x v="81"/>
      <x v="81"/>
      <x v="84"/>
    </i>
    <i t="default" r="1">
      <x v="81"/>
    </i>
    <i t="default">
      <x v="81"/>
    </i>
    <i>
      <x v="82"/>
      <x v="82"/>
      <x v="86"/>
    </i>
    <i t="default" r="1">
      <x v="82"/>
    </i>
    <i t="default">
      <x v="82"/>
    </i>
    <i>
      <x v="83"/>
      <x v="83"/>
      <x v="79"/>
    </i>
    <i t="default" r="1">
      <x v="83"/>
    </i>
    <i t="default">
      <x v="83"/>
    </i>
    <i>
      <x v="84"/>
      <x v="77"/>
      <x v="81"/>
    </i>
    <i t="default" r="1">
      <x v="77"/>
    </i>
    <i t="default">
      <x v="84"/>
    </i>
    <i>
      <x v="85"/>
      <x v="84"/>
      <x v="87"/>
    </i>
    <i t="default" r="1">
      <x v="84"/>
    </i>
    <i t="default">
      <x v="85"/>
    </i>
    <i>
      <x v="86"/>
      <x v="85"/>
      <x v="85"/>
    </i>
    <i r="2">
      <x v="88"/>
    </i>
    <i t="default" r="1">
      <x v="85"/>
    </i>
    <i t="default">
      <x v="86"/>
    </i>
    <i t="grand">
      <x/>
    </i>
  </colItems>
  <dataFields count="1">
    <dataField name="SUM of 40" fld="4"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826"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A5A23672-5809-41D8-B158-7AF8C902E148}">
  <we:reference id="wa200009404" version="1.0.0.8" store="en-US" storeType="OMEX"/>
  <we:alternateReferences>
    <we:reference id="wa200009404" version="1.0.0.8" store="en-US" storeType="OMEX"/>
  </we:alternateReferences>
  <we:properties>
    <we:property name="claude.fileId" value="&quot;0bd04c9a-7840-48ed-b98d-bdad0d5274bf&quot;"/>
  </we:properties>
  <we:bindings/>
  <we:snapshot xmlns:r="http://schemas.openxmlformats.org/officeDocument/2006/relationships"/>
</we:webextension>
</file>

<file path=xl/worksheets/_rels/sheet2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8" Type="http://schemas.openxmlformats.org/officeDocument/2006/relationships/hyperlink" Target="https://www.teknatool.com/products/shopnovapartsdirect/factory-refurbished/nova-infinity-accessory-jaw-saw-tooth-series-1-8311-r/" TargetMode="External"/><Relationship Id="rId3" Type="http://schemas.openxmlformats.org/officeDocument/2006/relationships/hyperlink" Target="https://www.teknatool.com/products/chuck-accessories/nova-jaw-accessories/nova-infinity-accessory-jaw-bowl-jaw-series-3/" TargetMode="External"/><Relationship Id="rId7" Type="http://schemas.openxmlformats.org/officeDocument/2006/relationships/hyperlink" Target="https://www.teknatool.com/products/chuck-accessories/nova-jaw-accessories/nova-infinity-accessory-jaw-bowl-jaw-series-7/" TargetMode="External"/><Relationship Id="rId2" Type="http://schemas.openxmlformats.org/officeDocument/2006/relationships/hyperlink" Target="https://www.teknatool.com/products/chuck-accessories/nova-jaw-accessories/nova-infinity-accessory-jaw-bowl-jaw-series-2/" TargetMode="External"/><Relationship Id="rId1" Type="http://schemas.openxmlformats.org/officeDocument/2006/relationships/hyperlink" Target="https://www.teknatool.com/products/chuck-accessories/nova-jaw-accessories/nova-infinity-accessory-jaw-bowl-jaw-series-1/" TargetMode="External"/><Relationship Id="rId6" Type="http://schemas.openxmlformats.org/officeDocument/2006/relationships/hyperlink" Target="https://www.teknatool.com/products/chuck-accessories/nova-jaw-accessories/nova-infinity-accessory-jaw-bowl-jaw-series-6/" TargetMode="External"/><Relationship Id="rId5" Type="http://schemas.openxmlformats.org/officeDocument/2006/relationships/hyperlink" Target="https://www.teknatool.com/products/chuck-accessories/nova-jaw-accessories/nova-infinity-accessory-jaw-bowl-jaw-series-5/" TargetMode="External"/><Relationship Id="rId10" Type="http://schemas.openxmlformats.org/officeDocument/2006/relationships/hyperlink" Target="https://www.teknatool.com/products/chuck-accessories/nova-jaw-accessories/nova-infinity-accessory-jaw-saw-tooth-series-3/" TargetMode="External"/><Relationship Id="rId4" Type="http://schemas.openxmlformats.org/officeDocument/2006/relationships/hyperlink" Target="https://www.teknatool.com/products/chuck-accessories/nova-jaw-accessories/nova-infinity-accessory-jaw-bowl-jaw-series-4/" TargetMode="External"/><Relationship Id="rId9" Type="http://schemas.openxmlformats.org/officeDocument/2006/relationships/hyperlink" Target="https://www.teknatool.com/products/shopnovapartsdirect/sale/nova-infinity-accessory-jaw-saw-tooth-series-2-8312-r/" TargetMode="External"/></Relationships>
</file>

<file path=xl/worksheets/_rels/sheet3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3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3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3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39.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40.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41.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4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43.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44.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45.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46.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47.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49.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17.xml"/><Relationship Id="rId1" Type="http://schemas.openxmlformats.org/officeDocument/2006/relationships/vmlDrawing" Target="../drawings/vmlDrawing17.vml"/></Relationships>
</file>

<file path=xl/worksheets/_rels/sheet52.xml.rels><?xml version="1.0" encoding="UTF-8" standalone="yes"?>
<Relationships xmlns="http://schemas.openxmlformats.org/package/2006/relationships"><Relationship Id="rId2" Type="http://schemas.openxmlformats.org/officeDocument/2006/relationships/comments" Target="../comments18.xml"/><Relationship Id="rId1" Type="http://schemas.openxmlformats.org/officeDocument/2006/relationships/vmlDrawing" Target="../drawings/vmlDrawing1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E86B2-47DB-4F88-82EB-B1029606DBC2}">
  <dimension ref="A1:B17"/>
  <sheetViews>
    <sheetView workbookViewId="0">
      <pane ySplit="3" topLeftCell="A4" activePane="bottomLeft" state="frozen"/>
      <selection pane="bottomLeft" activeCell="B5" sqref="B5"/>
    </sheetView>
  </sheetViews>
  <sheetFormatPr defaultRowHeight="12.75" x14ac:dyDescent="0.2"/>
  <cols>
    <col min="1" max="1" width="22.85546875" customWidth="1"/>
    <col min="2" max="2" width="152.42578125" style="672" customWidth="1"/>
  </cols>
  <sheetData>
    <row r="1" spans="1:2" ht="18" x14ac:dyDescent="0.25">
      <c r="A1" s="470" t="s">
        <v>4454</v>
      </c>
    </row>
    <row r="2" spans="1:2" x14ac:dyDescent="0.2">
      <c r="A2" s="734" t="s">
        <v>4455</v>
      </c>
    </row>
    <row r="4" spans="1:2" ht="15.75" x14ac:dyDescent="0.25">
      <c r="A4" s="773" t="s">
        <v>4456</v>
      </c>
    </row>
    <row r="5" spans="1:2" ht="102" x14ac:dyDescent="0.2">
      <c r="A5" t="s">
        <v>4457</v>
      </c>
      <c r="B5" s="672" t="s">
        <v>4458</v>
      </c>
    </row>
    <row r="7" spans="1:2" ht="15.75" x14ac:dyDescent="0.25">
      <c r="A7" s="773" t="s">
        <v>4459</v>
      </c>
    </row>
    <row r="8" spans="1:2" ht="127.5" x14ac:dyDescent="0.2">
      <c r="A8" t="s">
        <v>4457</v>
      </c>
      <c r="B8" s="672" t="s">
        <v>4460</v>
      </c>
    </row>
    <row r="10" spans="1:2" ht="15.75" x14ac:dyDescent="0.25">
      <c r="A10" s="773" t="s">
        <v>4461</v>
      </c>
    </row>
    <row r="11" spans="1:2" ht="127.5" x14ac:dyDescent="0.2">
      <c r="A11" t="s">
        <v>4457</v>
      </c>
      <c r="B11" s="672" t="s">
        <v>4462</v>
      </c>
    </row>
    <row r="13" spans="1:2" ht="15.75" x14ac:dyDescent="0.25">
      <c r="A13" s="773" t="s">
        <v>4463</v>
      </c>
    </row>
    <row r="14" spans="1:2" ht="102" x14ac:dyDescent="0.2">
      <c r="A14" t="s">
        <v>4457</v>
      </c>
      <c r="B14" s="672" t="s">
        <v>4464</v>
      </c>
    </row>
    <row r="16" spans="1:2" ht="15.75" x14ac:dyDescent="0.25">
      <c r="A16" s="773" t="s">
        <v>4465</v>
      </c>
    </row>
    <row r="17" spans="1:2" ht="114.75" x14ac:dyDescent="0.2">
      <c r="A17" t="s">
        <v>4457</v>
      </c>
      <c r="B17" s="672" t="s">
        <v>4466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DDCC5-C3FD-4B61-B233-357B001DBF9F}">
  <dimension ref="A1:H251"/>
  <sheetViews>
    <sheetView topLeftCell="A19" workbookViewId="0"/>
  </sheetViews>
  <sheetFormatPr defaultRowHeight="12.75" x14ac:dyDescent="0.2"/>
  <cols>
    <col min="1" max="1" width="137.140625" customWidth="1"/>
    <col min="2" max="2" width="4.42578125" bestFit="1" customWidth="1"/>
    <col min="3" max="3" width="14.28515625" bestFit="1" customWidth="1"/>
    <col min="4" max="4" width="16.28515625" bestFit="1" customWidth="1"/>
    <col min="5" max="5" width="16.5703125" bestFit="1" customWidth="1"/>
    <col min="6" max="6" width="22" bestFit="1" customWidth="1"/>
    <col min="7" max="7" width="24.28515625" bestFit="1" customWidth="1"/>
    <col min="8" max="8" width="63.7109375" bestFit="1" customWidth="1"/>
  </cols>
  <sheetData>
    <row r="1" spans="1:8" x14ac:dyDescent="0.2">
      <c r="A1" s="467" t="s">
        <v>893</v>
      </c>
      <c r="B1" s="467" t="s">
        <v>894</v>
      </c>
      <c r="C1" s="467" t="s">
        <v>895</v>
      </c>
      <c r="D1" s="467" t="s">
        <v>896</v>
      </c>
      <c r="E1" s="467" t="s">
        <v>897</v>
      </c>
      <c r="F1" s="467" t="s">
        <v>898</v>
      </c>
      <c r="G1" s="467" t="s">
        <v>899</v>
      </c>
      <c r="H1" s="467" t="s">
        <v>900</v>
      </c>
    </row>
    <row r="2" spans="1:8" x14ac:dyDescent="0.2">
      <c r="A2">
        <v>1</v>
      </c>
      <c r="B2" t="s">
        <v>29</v>
      </c>
      <c r="C2" s="468">
        <v>0.39687499999999998</v>
      </c>
      <c r="D2" s="468">
        <v>1.9050000000000001E-2</v>
      </c>
      <c r="E2" s="468">
        <v>4.7619999999999997E-3</v>
      </c>
      <c r="F2" s="469">
        <v>440</v>
      </c>
      <c r="G2" t="s">
        <v>358</v>
      </c>
    </row>
    <row r="3" spans="1:8" x14ac:dyDescent="0.2">
      <c r="A3">
        <v>2</v>
      </c>
      <c r="B3" t="s">
        <v>28</v>
      </c>
      <c r="C3" s="468">
        <v>0.39687499999999998</v>
      </c>
      <c r="D3" s="468">
        <v>1.9050000000000001E-2</v>
      </c>
      <c r="E3" s="468">
        <v>4.7619999999999997E-3</v>
      </c>
      <c r="F3" s="469">
        <v>415.3</v>
      </c>
      <c r="G3" t="s">
        <v>358</v>
      </c>
    </row>
    <row r="4" spans="1:8" x14ac:dyDescent="0.2">
      <c r="A4">
        <v>3</v>
      </c>
      <c r="B4" t="s">
        <v>31</v>
      </c>
      <c r="C4" s="468">
        <v>0.39687499999999998</v>
      </c>
      <c r="D4" s="468">
        <v>1.5875E-2</v>
      </c>
      <c r="E4" s="468">
        <v>4.7619999999999997E-3</v>
      </c>
      <c r="F4" s="469">
        <v>493.88</v>
      </c>
      <c r="G4" t="s">
        <v>358</v>
      </c>
    </row>
    <row r="5" spans="1:8" x14ac:dyDescent="0.2">
      <c r="A5">
        <v>4</v>
      </c>
      <c r="B5" t="s">
        <v>11</v>
      </c>
      <c r="C5" s="468">
        <v>0.48259999999999997</v>
      </c>
      <c r="D5" s="468">
        <v>2.2225000000000002E-2</v>
      </c>
      <c r="E5" s="468">
        <v>4.7619999999999997E-3</v>
      </c>
      <c r="F5" s="469">
        <v>349.23</v>
      </c>
      <c r="G5" t="s">
        <v>368</v>
      </c>
    </row>
    <row r="6" spans="1:8" x14ac:dyDescent="0.2">
      <c r="A6">
        <v>5</v>
      </c>
      <c r="B6" t="s">
        <v>27</v>
      </c>
      <c r="C6" s="468">
        <v>0.44767499999999999</v>
      </c>
      <c r="D6" s="468">
        <v>1.9050000000000001E-2</v>
      </c>
      <c r="E6" s="468">
        <v>4.7619999999999997E-3</v>
      </c>
      <c r="F6" s="469">
        <v>392</v>
      </c>
      <c r="G6" t="s">
        <v>368</v>
      </c>
    </row>
    <row r="7" spans="1:8" x14ac:dyDescent="0.2">
      <c r="A7">
        <v>6</v>
      </c>
      <c r="B7" t="s">
        <v>11</v>
      </c>
      <c r="C7" s="468">
        <v>0.43180000000000002</v>
      </c>
      <c r="D7" s="468">
        <v>2.2225000000000002E-2</v>
      </c>
      <c r="E7" s="468">
        <v>4.7619999999999997E-3</v>
      </c>
      <c r="F7" s="469">
        <v>349.23</v>
      </c>
      <c r="G7" t="s">
        <v>368</v>
      </c>
    </row>
    <row r="8" spans="1:8" x14ac:dyDescent="0.2">
      <c r="A8">
        <v>7</v>
      </c>
      <c r="B8" t="s">
        <v>26</v>
      </c>
      <c r="C8" s="468">
        <v>0.43180000000000002</v>
      </c>
      <c r="D8" s="468">
        <v>2.2225000000000002E-2</v>
      </c>
      <c r="E8" s="468">
        <v>4.7619999999999997E-3</v>
      </c>
      <c r="F8" s="469">
        <v>369.99</v>
      </c>
      <c r="G8" t="s">
        <v>368</v>
      </c>
    </row>
    <row r="9" spans="1:8" x14ac:dyDescent="0.2">
      <c r="A9">
        <v>8</v>
      </c>
      <c r="B9" t="s">
        <v>27</v>
      </c>
      <c r="C9" s="468">
        <v>0.43180000000000002</v>
      </c>
      <c r="D9" s="468">
        <v>1.9050000000000001E-2</v>
      </c>
      <c r="E9" s="468">
        <v>4.7619999999999997E-3</v>
      </c>
      <c r="F9" s="469">
        <v>392</v>
      </c>
      <c r="G9" t="s">
        <v>368</v>
      </c>
    </row>
    <row r="10" spans="1:8" x14ac:dyDescent="0.2">
      <c r="A10">
        <v>9</v>
      </c>
      <c r="B10" t="s">
        <v>31</v>
      </c>
      <c r="C10" s="468">
        <v>0.39687499999999998</v>
      </c>
      <c r="D10" s="468">
        <v>1.5875E-2</v>
      </c>
      <c r="E10" s="468">
        <v>4.7619999999999997E-3</v>
      </c>
      <c r="F10" s="469">
        <v>493.88</v>
      </c>
      <c r="G10" t="s">
        <v>378</v>
      </c>
    </row>
    <row r="11" spans="1:8" x14ac:dyDescent="0.2">
      <c r="A11">
        <v>10</v>
      </c>
      <c r="B11" t="s">
        <v>30</v>
      </c>
      <c r="C11" s="468">
        <v>0.39687499999999998</v>
      </c>
      <c r="D11" s="468">
        <v>1.9050000000000001E-2</v>
      </c>
      <c r="E11" s="468">
        <v>4.7619999999999997E-3</v>
      </c>
      <c r="F11" s="469">
        <v>466.16</v>
      </c>
      <c r="G11" t="s">
        <v>378</v>
      </c>
    </row>
    <row r="12" spans="1:8" x14ac:dyDescent="0.2">
      <c r="A12">
        <v>11</v>
      </c>
      <c r="B12" t="s">
        <v>28</v>
      </c>
      <c r="C12" s="468">
        <v>0.39687499999999998</v>
      </c>
      <c r="D12" s="468">
        <v>1.9050000000000001E-2</v>
      </c>
      <c r="E12" s="468">
        <v>4.7619999999999997E-3</v>
      </c>
      <c r="F12" s="469">
        <v>415.3</v>
      </c>
      <c r="G12" t="s">
        <v>378</v>
      </c>
    </row>
    <row r="13" spans="1:8" x14ac:dyDescent="0.2">
      <c r="A13">
        <v>12</v>
      </c>
      <c r="B13" t="s">
        <v>27</v>
      </c>
      <c r="C13" s="468">
        <v>0.43814999999999998</v>
      </c>
      <c r="D13" s="468">
        <v>1.9050000000000001E-2</v>
      </c>
      <c r="E13" s="468">
        <v>4.7619999999999997E-3</v>
      </c>
      <c r="F13" s="469">
        <v>392</v>
      </c>
      <c r="G13" t="s">
        <v>378</v>
      </c>
    </row>
    <row r="14" spans="1:8" x14ac:dyDescent="0.2">
      <c r="A14">
        <v>13</v>
      </c>
      <c r="B14" t="s">
        <v>26</v>
      </c>
      <c r="C14" s="468">
        <v>0.43814999999999998</v>
      </c>
      <c r="D14" s="468">
        <v>2.2225000000000002E-2</v>
      </c>
      <c r="E14" s="468">
        <v>4.7619999999999997E-3</v>
      </c>
      <c r="F14" s="469">
        <v>369.99</v>
      </c>
      <c r="G14" t="s">
        <v>378</v>
      </c>
    </row>
    <row r="15" spans="1:8" x14ac:dyDescent="0.2">
      <c r="A15">
        <v>14</v>
      </c>
      <c r="B15" t="s">
        <v>29</v>
      </c>
      <c r="C15" s="468">
        <v>0.38100000000000001</v>
      </c>
      <c r="D15" s="468">
        <v>1.9050000000000001E-2</v>
      </c>
      <c r="E15" s="468">
        <v>4.7619999999999997E-3</v>
      </c>
      <c r="F15" s="469">
        <v>440</v>
      </c>
      <c r="G15" t="s">
        <v>386</v>
      </c>
    </row>
    <row r="16" spans="1:8" x14ac:dyDescent="0.2">
      <c r="A16">
        <v>15</v>
      </c>
      <c r="B16" t="s">
        <v>30</v>
      </c>
      <c r="C16" s="468">
        <v>0.39687499999999998</v>
      </c>
      <c r="D16" s="468">
        <v>1.9050000000000001E-2</v>
      </c>
      <c r="E16" s="468">
        <v>4.7619999999999997E-3</v>
      </c>
      <c r="F16" s="469">
        <v>466.16</v>
      </c>
      <c r="G16" t="s">
        <v>386</v>
      </c>
    </row>
    <row r="17" spans="1:8" x14ac:dyDescent="0.2">
      <c r="A17">
        <v>16</v>
      </c>
      <c r="B17" t="s">
        <v>27</v>
      </c>
      <c r="C17" s="468">
        <v>0.39687499999999998</v>
      </c>
      <c r="D17" s="468">
        <v>1.9050000000000001E-2</v>
      </c>
      <c r="E17" s="468">
        <v>4.7619999999999997E-3</v>
      </c>
      <c r="F17" s="469">
        <v>392</v>
      </c>
      <c r="G17" t="s">
        <v>386</v>
      </c>
    </row>
    <row r="18" spans="1:8" x14ac:dyDescent="0.2">
      <c r="A18">
        <v>17</v>
      </c>
      <c r="B18" t="s">
        <v>26</v>
      </c>
      <c r="C18" s="468">
        <v>0.43814999999999998</v>
      </c>
      <c r="D18" s="468">
        <v>2.2225000000000002E-2</v>
      </c>
      <c r="E18" s="468">
        <v>4.7619999999999997E-3</v>
      </c>
      <c r="F18" s="469">
        <v>369.99</v>
      </c>
      <c r="G18" t="s">
        <v>386</v>
      </c>
    </row>
    <row r="19" spans="1:8" x14ac:dyDescent="0.2">
      <c r="A19">
        <v>18</v>
      </c>
      <c r="B19" t="s">
        <v>11</v>
      </c>
      <c r="C19" s="468">
        <v>0.43814999999999998</v>
      </c>
      <c r="D19" s="468">
        <v>2.2225000000000002E-2</v>
      </c>
      <c r="E19" s="468">
        <v>4.7619999999999997E-3</v>
      </c>
      <c r="F19" s="469">
        <v>349.23</v>
      </c>
      <c r="G19" t="s">
        <v>386</v>
      </c>
    </row>
    <row r="20" spans="1:8" x14ac:dyDescent="0.2">
      <c r="A20">
        <v>19</v>
      </c>
      <c r="B20" t="s">
        <v>34</v>
      </c>
      <c r="C20" s="468">
        <v>0.45084999999999997</v>
      </c>
      <c r="D20" s="468">
        <v>1.5875E-2</v>
      </c>
      <c r="E20" s="468">
        <v>4.7619999999999997E-3</v>
      </c>
      <c r="F20" s="469">
        <v>587.33000000000004</v>
      </c>
      <c r="G20" t="s">
        <v>393</v>
      </c>
    </row>
    <row r="21" spans="1:8" x14ac:dyDescent="0.2">
      <c r="A21">
        <v>20</v>
      </c>
      <c r="B21" t="s">
        <v>33</v>
      </c>
      <c r="C21" s="468">
        <v>0.45084999999999997</v>
      </c>
      <c r="D21" s="468">
        <v>1.5875E-2</v>
      </c>
      <c r="E21" s="468">
        <v>4.7619999999999997E-3</v>
      </c>
      <c r="F21" s="469">
        <v>554.37</v>
      </c>
      <c r="G21" t="s">
        <v>393</v>
      </c>
    </row>
    <row r="22" spans="1:8" x14ac:dyDescent="0.2">
      <c r="A22">
        <v>21</v>
      </c>
      <c r="B22" t="s">
        <v>32</v>
      </c>
      <c r="C22" s="468">
        <v>0.45084999999999997</v>
      </c>
      <c r="D22" s="468">
        <v>1.5875E-2</v>
      </c>
      <c r="E22" s="468">
        <v>4.7619999999999997E-3</v>
      </c>
      <c r="F22" s="469">
        <v>523.25</v>
      </c>
      <c r="G22" t="s">
        <v>393</v>
      </c>
    </row>
    <row r="23" spans="1:8" x14ac:dyDescent="0.2">
      <c r="A23">
        <v>22</v>
      </c>
      <c r="B23" t="s">
        <v>31</v>
      </c>
      <c r="C23" s="468">
        <v>0.29210000000000003</v>
      </c>
      <c r="D23" s="468">
        <v>1.5875E-2</v>
      </c>
      <c r="E23" s="468">
        <v>4.7619999999999997E-3</v>
      </c>
      <c r="F23" s="469">
        <v>493.88</v>
      </c>
      <c r="G23" t="s">
        <v>398</v>
      </c>
    </row>
    <row r="24" spans="1:8" x14ac:dyDescent="0.2">
      <c r="A24">
        <v>23</v>
      </c>
      <c r="B24" t="s">
        <v>11</v>
      </c>
      <c r="C24" s="468"/>
      <c r="D24" s="468">
        <v>2.2225000000000002E-2</v>
      </c>
      <c r="E24" s="468">
        <v>4.7619999999999997E-3</v>
      </c>
      <c r="F24" s="469">
        <v>349.23</v>
      </c>
      <c r="G24" t="s">
        <v>398</v>
      </c>
    </row>
    <row r="25" spans="1:8" x14ac:dyDescent="0.2">
      <c r="A25">
        <v>24</v>
      </c>
      <c r="B25" t="s">
        <v>24</v>
      </c>
      <c r="C25" s="468">
        <v>0.53974999999999995</v>
      </c>
      <c r="D25" s="468">
        <v>2.5399999999999999E-2</v>
      </c>
      <c r="E25" s="468">
        <v>6.3499999999999997E-3</v>
      </c>
      <c r="F25" s="469">
        <v>293.66000000000003</v>
      </c>
      <c r="G25" t="s">
        <v>386</v>
      </c>
    </row>
    <row r="26" spans="1:8" x14ac:dyDescent="0.2">
      <c r="A26">
        <v>25</v>
      </c>
      <c r="B26" t="s">
        <v>254</v>
      </c>
      <c r="C26" s="468">
        <v>0.50800000000000001</v>
      </c>
      <c r="D26" s="468">
        <v>2.5399999999999999E-2</v>
      </c>
      <c r="E26" s="468">
        <v>6.3499999999999997E-3</v>
      </c>
      <c r="F26" s="469">
        <v>311.13</v>
      </c>
      <c r="G26" t="s">
        <v>404</v>
      </c>
    </row>
    <row r="27" spans="1:8" x14ac:dyDescent="0.2">
      <c r="A27">
        <v>26</v>
      </c>
      <c r="B27" t="s">
        <v>25</v>
      </c>
      <c r="C27" s="468">
        <v>0.48259999999999997</v>
      </c>
      <c r="D27" s="468">
        <v>2.2225000000000002E-2</v>
      </c>
      <c r="E27" s="468">
        <v>4.7619999999999997E-3</v>
      </c>
      <c r="F27" s="469">
        <v>329.63</v>
      </c>
      <c r="G27" t="s">
        <v>407</v>
      </c>
    </row>
    <row r="28" spans="1:8" x14ac:dyDescent="0.2">
      <c r="A28">
        <v>27</v>
      </c>
      <c r="B28" t="s">
        <v>24</v>
      </c>
      <c r="C28" s="468">
        <v>0.53974999999999995</v>
      </c>
      <c r="D28" s="468">
        <v>2.5399999999999999E-2</v>
      </c>
      <c r="E28" s="468">
        <v>6.3499999999999997E-3</v>
      </c>
      <c r="F28" s="469">
        <v>293.66000000000003</v>
      </c>
      <c r="G28" t="s">
        <v>409</v>
      </c>
    </row>
    <row r="29" spans="1:8" x14ac:dyDescent="0.2">
      <c r="A29">
        <v>28</v>
      </c>
      <c r="B29" t="s">
        <v>25</v>
      </c>
      <c r="C29" s="468">
        <v>0.47942499999999999</v>
      </c>
      <c r="D29" s="468">
        <v>2.2225000000000002E-2</v>
      </c>
      <c r="E29" s="468">
        <v>4.7619999999999997E-3</v>
      </c>
      <c r="F29" s="469">
        <v>329.63</v>
      </c>
      <c r="G29" t="s">
        <v>409</v>
      </c>
    </row>
    <row r="30" spans="1:8" x14ac:dyDescent="0.2">
      <c r="A30">
        <v>29</v>
      </c>
      <c r="B30" t="s">
        <v>34</v>
      </c>
      <c r="C30" s="468"/>
      <c r="D30" s="468">
        <v>1.5875E-2</v>
      </c>
      <c r="E30" s="468">
        <v>4.7619999999999997E-3</v>
      </c>
      <c r="F30" s="469">
        <v>587.33000000000004</v>
      </c>
      <c r="G30" t="s">
        <v>393</v>
      </c>
      <c r="H30" t="s">
        <v>413</v>
      </c>
    </row>
    <row r="31" spans="1:8" x14ac:dyDescent="0.2">
      <c r="A31">
        <v>30</v>
      </c>
      <c r="B31" t="s">
        <v>36</v>
      </c>
      <c r="C31" s="468"/>
      <c r="D31" s="468">
        <v>1.2699999999999999E-2</v>
      </c>
      <c r="E31" s="468">
        <v>3.1749999999999999E-3</v>
      </c>
      <c r="F31" s="469">
        <v>659.26</v>
      </c>
      <c r="G31" t="s">
        <v>398</v>
      </c>
    </row>
    <row r="32" spans="1:8" x14ac:dyDescent="0.2">
      <c r="A32">
        <v>31</v>
      </c>
      <c r="B32" t="s">
        <v>24</v>
      </c>
      <c r="C32" s="468"/>
      <c r="D32" s="468">
        <v>2.5399999999999999E-2</v>
      </c>
      <c r="E32" s="468">
        <v>6.3499999999999997E-3</v>
      </c>
      <c r="F32" s="469">
        <v>293.66000000000003</v>
      </c>
      <c r="G32" t="s">
        <v>419</v>
      </c>
    </row>
    <row r="33" spans="1:8" x14ac:dyDescent="0.2">
      <c r="A33">
        <v>32</v>
      </c>
      <c r="B33" t="s">
        <v>11</v>
      </c>
      <c r="C33" s="468"/>
      <c r="D33" s="468">
        <v>2.2225000000000002E-2</v>
      </c>
      <c r="E33" s="468">
        <v>4.7619999999999997E-3</v>
      </c>
      <c r="F33" s="469">
        <v>349.23</v>
      </c>
      <c r="G33" t="s">
        <v>419</v>
      </c>
      <c r="H33" t="s">
        <v>421</v>
      </c>
    </row>
    <row r="34" spans="1:8" x14ac:dyDescent="0.2">
      <c r="A34">
        <v>33</v>
      </c>
      <c r="B34" t="s">
        <v>424</v>
      </c>
      <c r="C34" s="468"/>
      <c r="D34" s="468">
        <v>2.2225000000000002E-2</v>
      </c>
      <c r="E34" s="468">
        <v>4.7619999999999997E-3</v>
      </c>
      <c r="F34" s="469">
        <v>369.99</v>
      </c>
      <c r="G34" t="s">
        <v>419</v>
      </c>
    </row>
    <row r="35" spans="1:8" x14ac:dyDescent="0.2">
      <c r="A35">
        <v>34</v>
      </c>
      <c r="B35" t="s">
        <v>26</v>
      </c>
      <c r="C35" s="468"/>
      <c r="D35" s="468">
        <v>2.2225000000000002E-2</v>
      </c>
      <c r="E35" s="468">
        <v>4.7619999999999997E-3</v>
      </c>
      <c r="F35" s="469">
        <v>369.99</v>
      </c>
      <c r="G35" t="s">
        <v>419</v>
      </c>
    </row>
    <row r="36" spans="1:8" x14ac:dyDescent="0.2">
      <c r="A36">
        <v>35</v>
      </c>
      <c r="B36" t="s">
        <v>28</v>
      </c>
      <c r="C36" s="468"/>
      <c r="D36" s="468">
        <v>1.9050000000000001E-2</v>
      </c>
      <c r="E36" s="468">
        <v>4.7619999999999997E-3</v>
      </c>
      <c r="F36" s="469">
        <v>415.3</v>
      </c>
      <c r="G36" t="s">
        <v>419</v>
      </c>
      <c r="H36" t="s">
        <v>430</v>
      </c>
    </row>
    <row r="37" spans="1:8" x14ac:dyDescent="0.2">
      <c r="A37">
        <v>36</v>
      </c>
      <c r="B37" t="s">
        <v>28</v>
      </c>
      <c r="C37" s="468"/>
      <c r="D37" s="468">
        <v>1.9050000000000001E-2</v>
      </c>
      <c r="E37" s="468">
        <v>4.7619999999999997E-3</v>
      </c>
      <c r="F37" s="469">
        <v>415.3</v>
      </c>
      <c r="G37" t="s">
        <v>419</v>
      </c>
    </row>
    <row r="38" spans="1:8" x14ac:dyDescent="0.2">
      <c r="A38">
        <v>37</v>
      </c>
      <c r="B38" t="s">
        <v>30</v>
      </c>
      <c r="C38" s="468"/>
      <c r="D38" s="468">
        <v>1.9050000000000001E-2</v>
      </c>
      <c r="E38" s="468">
        <v>4.7619999999999997E-3</v>
      </c>
      <c r="F38" s="469">
        <v>466.16</v>
      </c>
      <c r="G38" t="s">
        <v>419</v>
      </c>
      <c r="H38" t="s">
        <v>436</v>
      </c>
    </row>
    <row r="39" spans="1:8" x14ac:dyDescent="0.2">
      <c r="A39">
        <v>38</v>
      </c>
      <c r="B39" t="s">
        <v>30</v>
      </c>
      <c r="C39" s="468"/>
      <c r="D39" s="468">
        <v>1.9050000000000001E-2</v>
      </c>
      <c r="E39" s="468">
        <v>4.7619999999999997E-3</v>
      </c>
      <c r="F39" s="469">
        <v>466.16</v>
      </c>
      <c r="G39" t="s">
        <v>419</v>
      </c>
    </row>
    <row r="40" spans="1:8" x14ac:dyDescent="0.2">
      <c r="A40">
        <v>39</v>
      </c>
      <c r="B40" t="s">
        <v>31</v>
      </c>
      <c r="C40" s="468"/>
      <c r="D40" s="468">
        <v>1.5875E-2</v>
      </c>
      <c r="E40" s="468">
        <v>4.7619999999999997E-3</v>
      </c>
      <c r="F40" s="469">
        <v>493.88</v>
      </c>
      <c r="G40" t="s">
        <v>419</v>
      </c>
    </row>
    <row r="41" spans="1:8" x14ac:dyDescent="0.2">
      <c r="A41">
        <v>40</v>
      </c>
      <c r="B41" t="s">
        <v>33</v>
      </c>
      <c r="C41" s="468"/>
      <c r="D41" s="468">
        <v>1.5875E-2</v>
      </c>
      <c r="E41" s="468">
        <v>4.7619999999999997E-3</v>
      </c>
      <c r="F41" s="469">
        <v>554.37</v>
      </c>
      <c r="G41" t="s">
        <v>419</v>
      </c>
      <c r="H41" t="s">
        <v>444</v>
      </c>
    </row>
    <row r="42" spans="1:8" x14ac:dyDescent="0.2">
      <c r="A42">
        <v>41</v>
      </c>
      <c r="B42" t="s">
        <v>33</v>
      </c>
      <c r="C42" s="468"/>
      <c r="D42" s="468">
        <v>1.5875E-2</v>
      </c>
      <c r="E42" s="468">
        <v>4.7619999999999997E-3</v>
      </c>
      <c r="F42" s="469">
        <v>554.37</v>
      </c>
      <c r="G42" t="s">
        <v>419</v>
      </c>
    </row>
    <row r="43" spans="1:8" x14ac:dyDescent="0.2">
      <c r="A43">
        <v>42</v>
      </c>
      <c r="B43" t="s">
        <v>40</v>
      </c>
      <c r="C43" s="468"/>
      <c r="D43" s="468">
        <v>1.2699999999999999E-2</v>
      </c>
      <c r="E43" s="468">
        <v>3.1749999999999999E-3</v>
      </c>
      <c r="F43" s="469">
        <v>622.25</v>
      </c>
      <c r="G43" t="s">
        <v>419</v>
      </c>
      <c r="H43" t="s">
        <v>449</v>
      </c>
    </row>
    <row r="44" spans="1:8" x14ac:dyDescent="0.2">
      <c r="A44">
        <v>43</v>
      </c>
      <c r="B44" t="s">
        <v>36</v>
      </c>
      <c r="C44" s="468"/>
      <c r="D44" s="468">
        <v>1.2699999999999999E-2</v>
      </c>
      <c r="E44" s="468">
        <v>3.1749999999999999E-3</v>
      </c>
      <c r="F44" s="469">
        <v>659.26</v>
      </c>
      <c r="G44" t="s">
        <v>419</v>
      </c>
    </row>
    <row r="45" spans="1:8" x14ac:dyDescent="0.2">
      <c r="A45">
        <v>44</v>
      </c>
      <c r="B45" t="s">
        <v>32</v>
      </c>
      <c r="C45" s="468"/>
      <c r="D45" s="468">
        <v>1.5875E-2</v>
      </c>
      <c r="E45" s="468">
        <v>4.7619999999999997E-3</v>
      </c>
      <c r="F45" s="469">
        <v>523.25</v>
      </c>
      <c r="G45" t="s">
        <v>393</v>
      </c>
    </row>
    <row r="46" spans="1:8" x14ac:dyDescent="0.2">
      <c r="A46">
        <v>45</v>
      </c>
      <c r="B46" t="s">
        <v>32</v>
      </c>
      <c r="C46" s="468"/>
      <c r="D46" s="468">
        <v>1.5875E-2</v>
      </c>
      <c r="E46" s="468">
        <v>4.7619999999999997E-3</v>
      </c>
      <c r="F46" s="469">
        <v>523.25</v>
      </c>
      <c r="G46" t="s">
        <v>393</v>
      </c>
    </row>
    <row r="47" spans="1:8" x14ac:dyDescent="0.2">
      <c r="A47">
        <v>46</v>
      </c>
      <c r="B47" t="s">
        <v>33</v>
      </c>
      <c r="C47" s="468"/>
      <c r="D47" s="468">
        <v>1.5875E-2</v>
      </c>
      <c r="E47" s="468">
        <v>4.7619999999999997E-3</v>
      </c>
      <c r="F47" s="469">
        <v>554.37</v>
      </c>
      <c r="G47" t="s">
        <v>393</v>
      </c>
    </row>
    <row r="48" spans="1:8" x14ac:dyDescent="0.2">
      <c r="A48">
        <v>47</v>
      </c>
      <c r="B48" t="s">
        <v>34</v>
      </c>
      <c r="C48" s="468"/>
      <c r="D48" s="468">
        <v>1.5875E-2</v>
      </c>
      <c r="E48" s="468">
        <v>4.7619999999999997E-3</v>
      </c>
      <c r="F48" s="469">
        <v>587.33000000000004</v>
      </c>
      <c r="G48" t="s">
        <v>393</v>
      </c>
    </row>
    <row r="49" spans="1:8" x14ac:dyDescent="0.2">
      <c r="A49">
        <v>48</v>
      </c>
      <c r="B49" t="s">
        <v>424</v>
      </c>
      <c r="C49" s="468"/>
      <c r="D49" s="468">
        <v>2.2225000000000002E-2</v>
      </c>
      <c r="E49" s="468">
        <v>4.7619999999999997E-3</v>
      </c>
      <c r="F49" s="469">
        <v>369.99</v>
      </c>
      <c r="G49" t="s">
        <v>459</v>
      </c>
      <c r="H49" t="s">
        <v>460</v>
      </c>
    </row>
    <row r="50" spans="1:8" x14ac:dyDescent="0.2">
      <c r="A50">
        <v>49</v>
      </c>
      <c r="B50" t="s">
        <v>28</v>
      </c>
      <c r="C50" s="468"/>
      <c r="D50" s="468">
        <v>1.9050000000000001E-2</v>
      </c>
      <c r="E50" s="468">
        <v>4.7619999999999997E-3</v>
      </c>
      <c r="F50" s="469">
        <v>415.3</v>
      </c>
      <c r="G50" t="s">
        <v>459</v>
      </c>
      <c r="H50" t="s">
        <v>430</v>
      </c>
    </row>
    <row r="51" spans="1:8" x14ac:dyDescent="0.2">
      <c r="A51">
        <v>50</v>
      </c>
      <c r="B51" t="s">
        <v>30</v>
      </c>
      <c r="C51" s="468"/>
      <c r="D51" s="468">
        <v>1.9050000000000001E-2</v>
      </c>
      <c r="E51" s="468">
        <v>4.7619999999999997E-3</v>
      </c>
      <c r="F51" s="469">
        <v>466.16</v>
      </c>
      <c r="G51" t="s">
        <v>459</v>
      </c>
      <c r="H51" t="s">
        <v>436</v>
      </c>
    </row>
    <row r="52" spans="1:8" x14ac:dyDescent="0.2">
      <c r="A52">
        <v>51</v>
      </c>
      <c r="B52" t="s">
        <v>24</v>
      </c>
      <c r="C52" s="468"/>
      <c r="D52" s="468">
        <v>2.5399999999999999E-2</v>
      </c>
      <c r="E52" s="468">
        <v>6.3499999999999997E-3</v>
      </c>
      <c r="F52" s="469">
        <v>293.66000000000003</v>
      </c>
      <c r="G52" t="s">
        <v>464</v>
      </c>
    </row>
    <row r="53" spans="1:8" x14ac:dyDescent="0.2">
      <c r="A53">
        <v>52</v>
      </c>
      <c r="B53" t="s">
        <v>254</v>
      </c>
      <c r="C53" s="468"/>
      <c r="D53" s="468">
        <v>2.5399999999999999E-2</v>
      </c>
      <c r="E53" s="468">
        <v>6.3499999999999997E-3</v>
      </c>
      <c r="F53" s="469">
        <v>311.13</v>
      </c>
      <c r="G53" t="s">
        <v>464</v>
      </c>
    </row>
    <row r="54" spans="1:8" x14ac:dyDescent="0.2">
      <c r="A54">
        <v>53</v>
      </c>
      <c r="B54" t="s">
        <v>11</v>
      </c>
      <c r="C54" s="468"/>
      <c r="D54" s="468">
        <v>2.2225000000000002E-2</v>
      </c>
      <c r="E54" s="468">
        <v>4.7619999999999997E-3</v>
      </c>
      <c r="F54" s="469">
        <v>349.23</v>
      </c>
      <c r="G54" t="s">
        <v>464</v>
      </c>
      <c r="H54" t="s">
        <v>421</v>
      </c>
    </row>
    <row r="55" spans="1:8" x14ac:dyDescent="0.2">
      <c r="A55">
        <v>54</v>
      </c>
      <c r="B55" t="s">
        <v>424</v>
      </c>
      <c r="C55" s="468"/>
      <c r="D55" s="468">
        <v>2.2225000000000002E-2</v>
      </c>
      <c r="E55" s="468">
        <v>4.7619999999999997E-3</v>
      </c>
      <c r="F55" s="469">
        <v>369.99</v>
      </c>
      <c r="G55" t="s">
        <v>464</v>
      </c>
      <c r="H55" t="s">
        <v>460</v>
      </c>
    </row>
    <row r="56" spans="1:8" x14ac:dyDescent="0.2">
      <c r="A56">
        <v>55</v>
      </c>
      <c r="B56" t="s">
        <v>28</v>
      </c>
      <c r="C56" s="468"/>
      <c r="D56" s="468">
        <v>1.9050000000000001E-2</v>
      </c>
      <c r="E56" s="468">
        <v>4.7619999999999997E-3</v>
      </c>
      <c r="F56" s="469">
        <v>415.3</v>
      </c>
      <c r="G56" t="s">
        <v>464</v>
      </c>
    </row>
    <row r="57" spans="1:8" x14ac:dyDescent="0.2">
      <c r="A57">
        <v>56</v>
      </c>
      <c r="B57" t="s">
        <v>29</v>
      </c>
      <c r="C57" s="468"/>
      <c r="D57" s="468">
        <v>1.9050000000000001E-2</v>
      </c>
      <c r="E57" s="468">
        <v>4.7619999999999997E-3</v>
      </c>
      <c r="F57" s="469">
        <v>440</v>
      </c>
      <c r="G57" t="s">
        <v>464</v>
      </c>
      <c r="H57" t="s">
        <v>470</v>
      </c>
    </row>
    <row r="58" spans="1:8" x14ac:dyDescent="0.2">
      <c r="A58">
        <v>57</v>
      </c>
      <c r="B58" t="s">
        <v>30</v>
      </c>
      <c r="C58" s="468"/>
      <c r="D58" s="468">
        <v>1.9050000000000001E-2</v>
      </c>
      <c r="E58" s="468">
        <v>4.7619999999999997E-3</v>
      </c>
      <c r="F58" s="469">
        <v>466.16</v>
      </c>
      <c r="G58" t="s">
        <v>464</v>
      </c>
      <c r="H58" t="s">
        <v>436</v>
      </c>
    </row>
    <row r="59" spans="1:8" x14ac:dyDescent="0.2">
      <c r="A59">
        <v>58</v>
      </c>
      <c r="B59" t="s">
        <v>31</v>
      </c>
      <c r="C59" s="468"/>
      <c r="D59" s="468">
        <v>1.5875E-2</v>
      </c>
      <c r="E59" s="468">
        <v>4.7619999999999997E-3</v>
      </c>
      <c r="F59" s="469">
        <v>493.88</v>
      </c>
      <c r="G59" t="s">
        <v>464</v>
      </c>
      <c r="H59" t="s">
        <v>473</v>
      </c>
    </row>
    <row r="60" spans="1:8" x14ac:dyDescent="0.2">
      <c r="A60">
        <v>59</v>
      </c>
      <c r="B60" t="s">
        <v>32</v>
      </c>
      <c r="C60" s="468"/>
      <c r="D60" s="468">
        <v>1.5875E-2</v>
      </c>
      <c r="E60" s="468">
        <v>4.7619999999999997E-3</v>
      </c>
      <c r="F60" s="469">
        <v>523.25</v>
      </c>
      <c r="G60" t="s">
        <v>464</v>
      </c>
      <c r="H60" t="s">
        <v>475</v>
      </c>
    </row>
    <row r="61" spans="1:8" x14ac:dyDescent="0.2">
      <c r="A61">
        <v>60</v>
      </c>
      <c r="B61" t="s">
        <v>33</v>
      </c>
      <c r="C61" s="468"/>
      <c r="D61" s="468">
        <v>1.5875E-2</v>
      </c>
      <c r="E61" s="468">
        <v>4.7619999999999997E-3</v>
      </c>
      <c r="F61" s="469">
        <v>554.37</v>
      </c>
      <c r="G61" t="s">
        <v>464</v>
      </c>
      <c r="H61" t="s">
        <v>444</v>
      </c>
    </row>
    <row r="62" spans="1:8" x14ac:dyDescent="0.2">
      <c r="A62">
        <v>61</v>
      </c>
      <c r="B62" t="s">
        <v>34</v>
      </c>
      <c r="C62" s="468"/>
      <c r="D62" s="468">
        <v>1.5875E-2</v>
      </c>
      <c r="E62" s="468">
        <v>4.7619999999999997E-3</v>
      </c>
      <c r="F62" s="469">
        <v>587.33000000000004</v>
      </c>
      <c r="G62" t="s">
        <v>464</v>
      </c>
      <c r="H62" t="s">
        <v>413</v>
      </c>
    </row>
    <row r="63" spans="1:8" x14ac:dyDescent="0.2">
      <c r="A63">
        <v>62</v>
      </c>
      <c r="B63" t="s">
        <v>36</v>
      </c>
      <c r="C63" s="468"/>
      <c r="D63" s="468">
        <v>1.2699999999999999E-2</v>
      </c>
      <c r="E63" s="468">
        <v>3.1749999999999999E-3</v>
      </c>
      <c r="F63" s="469">
        <v>659.26</v>
      </c>
      <c r="G63" t="s">
        <v>464</v>
      </c>
      <c r="H63" t="s">
        <v>479</v>
      </c>
    </row>
    <row r="64" spans="1:8" x14ac:dyDescent="0.2">
      <c r="A64">
        <v>63</v>
      </c>
      <c r="B64" t="s">
        <v>36</v>
      </c>
      <c r="C64" s="468"/>
      <c r="D64" s="468">
        <v>1.2699999999999999E-2</v>
      </c>
      <c r="E64" s="468">
        <v>3.1749999999999999E-3</v>
      </c>
      <c r="F64" s="469">
        <v>659.26</v>
      </c>
      <c r="G64" t="s">
        <v>464</v>
      </c>
    </row>
    <row r="65" spans="1:8" x14ac:dyDescent="0.2">
      <c r="A65">
        <v>64</v>
      </c>
      <c r="B65" t="s">
        <v>37</v>
      </c>
      <c r="C65" s="468"/>
      <c r="D65" s="468">
        <v>1.1112E-2</v>
      </c>
      <c r="E65" s="468">
        <v>3.1749999999999999E-3</v>
      </c>
      <c r="F65" s="469">
        <v>698.46</v>
      </c>
      <c r="G65" t="s">
        <v>464</v>
      </c>
    </row>
    <row r="66" spans="1:8" x14ac:dyDescent="0.2">
      <c r="A66">
        <v>65</v>
      </c>
      <c r="B66" t="s">
        <v>41</v>
      </c>
      <c r="C66" s="468"/>
      <c r="D66" s="468">
        <v>1.1112E-2</v>
      </c>
      <c r="E66" s="468">
        <v>3.1749999999999999E-3</v>
      </c>
      <c r="F66" s="469">
        <v>739.99</v>
      </c>
      <c r="G66" t="s">
        <v>464</v>
      </c>
    </row>
    <row r="67" spans="1:8" x14ac:dyDescent="0.2">
      <c r="A67">
        <v>66</v>
      </c>
      <c r="B67" t="s">
        <v>42</v>
      </c>
      <c r="C67" s="468"/>
      <c r="D67" s="468">
        <v>1.1112E-2</v>
      </c>
      <c r="E67" s="468">
        <v>3.1749999999999999E-3</v>
      </c>
      <c r="F67" s="469">
        <v>783.99</v>
      </c>
      <c r="G67" t="s">
        <v>464</v>
      </c>
    </row>
    <row r="68" spans="1:8" x14ac:dyDescent="0.2">
      <c r="A68">
        <v>67</v>
      </c>
      <c r="B68" t="s">
        <v>42</v>
      </c>
      <c r="C68" s="468"/>
      <c r="D68" s="468">
        <v>1.1112E-2</v>
      </c>
      <c r="E68" s="468">
        <v>3.1749999999999999E-3</v>
      </c>
      <c r="F68" s="469">
        <v>783.99</v>
      </c>
      <c r="G68" t="s">
        <v>488</v>
      </c>
    </row>
    <row r="69" spans="1:8" x14ac:dyDescent="0.2">
      <c r="A69">
        <v>68</v>
      </c>
      <c r="B69" t="s">
        <v>424</v>
      </c>
      <c r="C69" s="468"/>
      <c r="D69" s="468">
        <v>2.2225000000000002E-2</v>
      </c>
      <c r="E69" s="468">
        <v>4.7619999999999997E-3</v>
      </c>
      <c r="F69" s="469">
        <v>369.99</v>
      </c>
      <c r="G69" t="s">
        <v>490</v>
      </c>
      <c r="H69" t="s">
        <v>460</v>
      </c>
    </row>
    <row r="70" spans="1:8" x14ac:dyDescent="0.2">
      <c r="A70">
        <v>69</v>
      </c>
      <c r="B70" t="s">
        <v>27</v>
      </c>
      <c r="C70" s="468"/>
      <c r="D70" s="468">
        <v>1.9050000000000001E-2</v>
      </c>
      <c r="E70" s="468">
        <v>4.7619999999999997E-3</v>
      </c>
      <c r="F70" s="469">
        <v>392</v>
      </c>
      <c r="G70" t="s">
        <v>490</v>
      </c>
      <c r="H70" t="s">
        <v>492</v>
      </c>
    </row>
    <row r="71" spans="1:8" x14ac:dyDescent="0.2">
      <c r="A71">
        <v>70</v>
      </c>
      <c r="B71" t="s">
        <v>29</v>
      </c>
      <c r="C71" s="468"/>
      <c r="D71" s="468">
        <v>1.9050000000000001E-2</v>
      </c>
      <c r="E71" s="468">
        <v>4.7619999999999997E-3</v>
      </c>
      <c r="F71" s="469">
        <v>440</v>
      </c>
      <c r="G71" t="s">
        <v>490</v>
      </c>
      <c r="H71" t="s">
        <v>470</v>
      </c>
    </row>
    <row r="72" spans="1:8" x14ac:dyDescent="0.2">
      <c r="A72">
        <v>71</v>
      </c>
      <c r="B72" t="s">
        <v>30</v>
      </c>
      <c r="C72" s="468"/>
      <c r="D72" s="468">
        <v>1.9050000000000001E-2</v>
      </c>
      <c r="E72" s="468">
        <v>4.7619999999999997E-3</v>
      </c>
      <c r="F72" s="469">
        <v>466.16</v>
      </c>
      <c r="G72" t="s">
        <v>490</v>
      </c>
    </row>
    <row r="73" spans="1:8" x14ac:dyDescent="0.2">
      <c r="A73">
        <v>72</v>
      </c>
      <c r="B73" t="s">
        <v>32</v>
      </c>
      <c r="C73" s="468"/>
      <c r="D73" s="468">
        <v>1.5875E-2</v>
      </c>
      <c r="E73" s="468">
        <v>4.7619999999999997E-3</v>
      </c>
      <c r="F73" s="469">
        <v>523.25</v>
      </c>
      <c r="G73" t="s">
        <v>490</v>
      </c>
    </row>
    <row r="74" spans="1:8" x14ac:dyDescent="0.2">
      <c r="A74">
        <v>73</v>
      </c>
      <c r="B74" t="s">
        <v>34</v>
      </c>
      <c r="C74" s="468"/>
      <c r="D74" s="468">
        <v>1.5875E-2</v>
      </c>
      <c r="E74" s="468">
        <v>4.7619999999999997E-3</v>
      </c>
      <c r="F74" s="469">
        <v>587.33000000000004</v>
      </c>
      <c r="G74" t="s">
        <v>490</v>
      </c>
      <c r="H74" t="s">
        <v>413</v>
      </c>
    </row>
    <row r="75" spans="1:8" x14ac:dyDescent="0.2">
      <c r="A75">
        <v>74</v>
      </c>
      <c r="B75" t="s">
        <v>500</v>
      </c>
      <c r="C75" s="468"/>
      <c r="D75" s="468">
        <v>3.175E-2</v>
      </c>
      <c r="E75" s="468">
        <v>6.3499999999999997E-3</v>
      </c>
      <c r="F75" s="469">
        <v>220</v>
      </c>
      <c r="G75" t="s">
        <v>499</v>
      </c>
    </row>
    <row r="76" spans="1:8" x14ac:dyDescent="0.2">
      <c r="A76">
        <v>75</v>
      </c>
      <c r="B76" t="s">
        <v>243</v>
      </c>
      <c r="C76" s="468"/>
      <c r="D76" s="468">
        <v>3.175E-2</v>
      </c>
      <c r="E76" s="468">
        <v>6.3499999999999997E-3</v>
      </c>
      <c r="F76" s="469">
        <v>233.08</v>
      </c>
      <c r="G76" t="s">
        <v>404</v>
      </c>
    </row>
    <row r="77" spans="1:8" x14ac:dyDescent="0.2">
      <c r="A77">
        <v>76</v>
      </c>
      <c r="B77" t="s">
        <v>5</v>
      </c>
      <c r="C77" s="468"/>
      <c r="D77" s="468">
        <v>2.8575E-2</v>
      </c>
      <c r="E77" s="468">
        <v>6.3499999999999997E-3</v>
      </c>
      <c r="F77" s="469">
        <v>246.94</v>
      </c>
      <c r="G77" t="s">
        <v>386</v>
      </c>
    </row>
    <row r="78" spans="1:8" x14ac:dyDescent="0.2">
      <c r="A78">
        <v>77</v>
      </c>
      <c r="B78" t="s">
        <v>244</v>
      </c>
      <c r="C78" s="468"/>
      <c r="D78" s="468">
        <v>2.8575E-2</v>
      </c>
      <c r="E78" s="468">
        <v>6.3499999999999997E-3</v>
      </c>
      <c r="F78" s="469">
        <v>261.63</v>
      </c>
      <c r="G78" t="s">
        <v>386</v>
      </c>
    </row>
    <row r="79" spans="1:8" x14ac:dyDescent="0.2">
      <c r="A79">
        <v>78</v>
      </c>
      <c r="B79" t="s">
        <v>245</v>
      </c>
      <c r="C79" s="468"/>
      <c r="D79" s="468">
        <v>2.5399999999999999E-2</v>
      </c>
      <c r="E79" s="468">
        <v>6.3499999999999997E-3</v>
      </c>
      <c r="F79" s="469">
        <v>277.18</v>
      </c>
      <c r="G79" t="s">
        <v>404</v>
      </c>
    </row>
    <row r="80" spans="1:8" x14ac:dyDescent="0.2">
      <c r="A80">
        <v>79</v>
      </c>
      <c r="B80" t="s">
        <v>11</v>
      </c>
      <c r="C80" s="468"/>
      <c r="D80" s="468">
        <v>2.2225000000000002E-2</v>
      </c>
      <c r="E80" s="468">
        <v>4.7619999999999997E-3</v>
      </c>
      <c r="F80" s="469">
        <v>349.23</v>
      </c>
      <c r="G80" t="s">
        <v>506</v>
      </c>
      <c r="H80" t="s">
        <v>421</v>
      </c>
    </row>
    <row r="81" spans="1:8" x14ac:dyDescent="0.2">
      <c r="A81">
        <v>80</v>
      </c>
      <c r="B81" t="s">
        <v>424</v>
      </c>
      <c r="C81" s="468"/>
      <c r="D81" s="468">
        <v>2.2225000000000002E-2</v>
      </c>
      <c r="E81" s="468">
        <v>4.7619999999999997E-3</v>
      </c>
      <c r="F81" s="469">
        <v>369.99</v>
      </c>
      <c r="G81" t="s">
        <v>506</v>
      </c>
      <c r="H81" t="s">
        <v>460</v>
      </c>
    </row>
    <row r="82" spans="1:8" x14ac:dyDescent="0.2">
      <c r="A82">
        <v>81</v>
      </c>
      <c r="B82" t="s">
        <v>27</v>
      </c>
      <c r="C82" s="468"/>
      <c r="D82" s="468">
        <v>1.9050000000000001E-2</v>
      </c>
      <c r="E82" s="468">
        <v>4.7619999999999997E-3</v>
      </c>
      <c r="F82" s="469">
        <v>392</v>
      </c>
      <c r="G82" t="s">
        <v>506</v>
      </c>
      <c r="H82" t="s">
        <v>492</v>
      </c>
    </row>
    <row r="83" spans="1:8" x14ac:dyDescent="0.2">
      <c r="A83">
        <v>82</v>
      </c>
      <c r="B83" t="s">
        <v>28</v>
      </c>
      <c r="C83" s="468"/>
      <c r="D83" s="468">
        <v>1.9050000000000001E-2</v>
      </c>
      <c r="E83" s="468">
        <v>4.7619999999999997E-3</v>
      </c>
      <c r="F83" s="469">
        <v>415.3</v>
      </c>
      <c r="G83" t="s">
        <v>506</v>
      </c>
      <c r="H83" t="s">
        <v>430</v>
      </c>
    </row>
    <row r="84" spans="1:8" x14ac:dyDescent="0.2">
      <c r="A84">
        <v>83</v>
      </c>
      <c r="B84" t="s">
        <v>29</v>
      </c>
      <c r="C84" s="468"/>
      <c r="D84" s="468">
        <v>1.9050000000000001E-2</v>
      </c>
      <c r="E84" s="468">
        <v>4.7619999999999997E-3</v>
      </c>
      <c r="F84" s="469">
        <v>440</v>
      </c>
      <c r="G84" t="s">
        <v>506</v>
      </c>
      <c r="H84" t="s">
        <v>470</v>
      </c>
    </row>
    <row r="85" spans="1:8" x14ac:dyDescent="0.2">
      <c r="A85">
        <v>84</v>
      </c>
      <c r="B85" t="s">
        <v>30</v>
      </c>
      <c r="C85" s="468"/>
      <c r="D85" s="468">
        <v>1.9050000000000001E-2</v>
      </c>
      <c r="E85" s="468">
        <v>4.7619999999999997E-3</v>
      </c>
      <c r="F85" s="469">
        <v>466.16</v>
      </c>
      <c r="G85" t="s">
        <v>506</v>
      </c>
      <c r="H85" t="s">
        <v>436</v>
      </c>
    </row>
    <row r="86" spans="1:8" x14ac:dyDescent="0.2">
      <c r="A86">
        <v>85</v>
      </c>
      <c r="B86" t="s">
        <v>31</v>
      </c>
      <c r="C86" s="468"/>
      <c r="D86" s="468">
        <v>1.5875E-2</v>
      </c>
      <c r="E86" s="468">
        <v>4.7619999999999997E-3</v>
      </c>
      <c r="F86" s="469">
        <v>493.88</v>
      </c>
      <c r="G86" t="s">
        <v>506</v>
      </c>
      <c r="H86" t="s">
        <v>473</v>
      </c>
    </row>
    <row r="87" spans="1:8" x14ac:dyDescent="0.2">
      <c r="A87">
        <v>86</v>
      </c>
      <c r="B87" t="s">
        <v>32</v>
      </c>
      <c r="C87" s="468"/>
      <c r="D87" s="468">
        <v>1.5875E-2</v>
      </c>
      <c r="E87" s="468">
        <v>4.7619999999999997E-3</v>
      </c>
      <c r="F87" s="469">
        <v>523.25</v>
      </c>
      <c r="G87" t="s">
        <v>506</v>
      </c>
      <c r="H87" t="s">
        <v>475</v>
      </c>
    </row>
    <row r="88" spans="1:8" x14ac:dyDescent="0.2">
      <c r="A88">
        <v>87</v>
      </c>
      <c r="B88" t="s">
        <v>33</v>
      </c>
      <c r="C88" s="468"/>
      <c r="D88" s="468">
        <v>1.5875E-2</v>
      </c>
      <c r="E88" s="468">
        <v>4.7619999999999997E-3</v>
      </c>
      <c r="F88" s="469">
        <v>554.37</v>
      </c>
      <c r="G88" t="s">
        <v>506</v>
      </c>
      <c r="H88" t="s">
        <v>444</v>
      </c>
    </row>
    <row r="89" spans="1:8" x14ac:dyDescent="0.2">
      <c r="A89">
        <v>88</v>
      </c>
      <c r="B89" t="s">
        <v>34</v>
      </c>
      <c r="C89" s="468"/>
      <c r="D89" s="468">
        <v>1.5875E-2</v>
      </c>
      <c r="E89" s="468">
        <v>4.7619999999999997E-3</v>
      </c>
      <c r="F89" s="469">
        <v>587.33000000000004</v>
      </c>
      <c r="G89" t="s">
        <v>506</v>
      </c>
      <c r="H89" t="s">
        <v>413</v>
      </c>
    </row>
    <row r="90" spans="1:8" x14ac:dyDescent="0.2">
      <c r="A90">
        <v>89</v>
      </c>
      <c r="B90" t="s">
        <v>40</v>
      </c>
      <c r="C90" s="468"/>
      <c r="D90" s="468">
        <v>1.2699999999999999E-2</v>
      </c>
      <c r="E90" s="468">
        <v>3.1749999999999999E-3</v>
      </c>
      <c r="F90" s="469">
        <v>622.25</v>
      </c>
      <c r="G90" t="s">
        <v>506</v>
      </c>
      <c r="H90" t="s">
        <v>449</v>
      </c>
    </row>
    <row r="91" spans="1:8" x14ac:dyDescent="0.2">
      <c r="A91">
        <v>90</v>
      </c>
      <c r="B91" t="s">
        <v>36</v>
      </c>
      <c r="C91" s="468"/>
      <c r="D91" s="468">
        <v>1.2699999999999999E-2</v>
      </c>
      <c r="E91" s="468">
        <v>3.1749999999999999E-3</v>
      </c>
      <c r="F91" s="469">
        <v>659.26</v>
      </c>
      <c r="G91" t="s">
        <v>506</v>
      </c>
    </row>
    <row r="92" spans="1:8" x14ac:dyDescent="0.2">
      <c r="A92">
        <v>91</v>
      </c>
      <c r="B92" t="s">
        <v>27</v>
      </c>
      <c r="C92" s="468"/>
      <c r="D92" s="468">
        <v>1.9050000000000001E-2</v>
      </c>
      <c r="E92" s="468">
        <v>4.7619999999999997E-3</v>
      </c>
      <c r="F92" s="469">
        <v>392</v>
      </c>
      <c r="G92" t="s">
        <v>519</v>
      </c>
    </row>
    <row r="93" spans="1:8" x14ac:dyDescent="0.2">
      <c r="A93">
        <v>92</v>
      </c>
      <c r="B93" t="s">
        <v>30</v>
      </c>
      <c r="C93" s="468"/>
      <c r="D93" s="468">
        <v>1.9050000000000001E-2</v>
      </c>
      <c r="E93" s="468">
        <v>4.7619999999999997E-3</v>
      </c>
      <c r="F93" s="469">
        <v>466.16</v>
      </c>
      <c r="G93" t="s">
        <v>519</v>
      </c>
      <c r="H93" t="s">
        <v>436</v>
      </c>
    </row>
    <row r="94" spans="1:8" x14ac:dyDescent="0.2">
      <c r="A94">
        <v>93</v>
      </c>
      <c r="B94" t="s">
        <v>31</v>
      </c>
      <c r="C94" s="468"/>
      <c r="D94" s="468">
        <v>1.5875E-2</v>
      </c>
      <c r="E94" s="468">
        <v>4.7619999999999997E-3</v>
      </c>
      <c r="F94" s="469">
        <v>493.88</v>
      </c>
      <c r="G94" t="s">
        <v>519</v>
      </c>
    </row>
    <row r="95" spans="1:8" x14ac:dyDescent="0.2">
      <c r="A95">
        <v>94</v>
      </c>
      <c r="B95" t="s">
        <v>33</v>
      </c>
      <c r="C95" s="468"/>
      <c r="D95" s="468">
        <v>1.5875E-2</v>
      </c>
      <c r="E95" s="468">
        <v>4.7619999999999997E-3</v>
      </c>
      <c r="F95" s="469">
        <v>554.37</v>
      </c>
      <c r="G95" t="s">
        <v>519</v>
      </c>
      <c r="H95" t="s">
        <v>444</v>
      </c>
    </row>
    <row r="96" spans="1:8" x14ac:dyDescent="0.2">
      <c r="A96">
        <v>95</v>
      </c>
      <c r="B96" t="s">
        <v>34</v>
      </c>
      <c r="C96" s="468"/>
      <c r="D96" s="468">
        <v>1.5875E-2</v>
      </c>
      <c r="E96" s="468">
        <v>4.7619999999999997E-3</v>
      </c>
      <c r="F96" s="469">
        <v>587.33000000000004</v>
      </c>
      <c r="G96" t="s">
        <v>519</v>
      </c>
      <c r="H96" t="s">
        <v>413</v>
      </c>
    </row>
    <row r="97" spans="1:8" x14ac:dyDescent="0.2">
      <c r="A97">
        <v>96</v>
      </c>
      <c r="B97" t="s">
        <v>34</v>
      </c>
      <c r="C97" s="468"/>
      <c r="D97" s="468">
        <v>1.5875E-2</v>
      </c>
      <c r="E97" s="468">
        <v>4.7619999999999997E-3</v>
      </c>
      <c r="F97" s="469">
        <v>587.33000000000004</v>
      </c>
      <c r="G97" t="s">
        <v>519</v>
      </c>
      <c r="H97" t="s">
        <v>413</v>
      </c>
    </row>
    <row r="98" spans="1:8" x14ac:dyDescent="0.2">
      <c r="A98">
        <v>97</v>
      </c>
      <c r="B98" t="s">
        <v>34</v>
      </c>
      <c r="C98" s="468"/>
      <c r="D98" s="468">
        <v>1.5875E-2</v>
      </c>
      <c r="E98" s="468">
        <v>4.7619999999999997E-3</v>
      </c>
      <c r="F98" s="469">
        <v>587.33000000000004</v>
      </c>
      <c r="G98" t="s">
        <v>519</v>
      </c>
    </row>
    <row r="99" spans="1:8" x14ac:dyDescent="0.2">
      <c r="A99">
        <v>98</v>
      </c>
      <c r="B99" t="s">
        <v>40</v>
      </c>
      <c r="C99" s="468"/>
      <c r="D99" s="468">
        <v>1.2699999999999999E-2</v>
      </c>
      <c r="E99" s="468">
        <v>3.1749999999999999E-3</v>
      </c>
      <c r="F99" s="469">
        <v>622.25</v>
      </c>
      <c r="G99" t="s">
        <v>519</v>
      </c>
    </row>
    <row r="100" spans="1:8" x14ac:dyDescent="0.2">
      <c r="A100">
        <v>99</v>
      </c>
      <c r="B100" t="s">
        <v>36</v>
      </c>
      <c r="C100" s="468"/>
      <c r="D100" s="468">
        <v>1.2699999999999999E-2</v>
      </c>
      <c r="E100" s="468">
        <v>3.1749999999999999E-3</v>
      </c>
      <c r="F100" s="469">
        <v>659.26</v>
      </c>
      <c r="G100" t="s">
        <v>519</v>
      </c>
    </row>
    <row r="101" spans="1:8" x14ac:dyDescent="0.2">
      <c r="A101">
        <v>100</v>
      </c>
      <c r="B101" t="s">
        <v>37</v>
      </c>
      <c r="C101" s="468"/>
      <c r="D101" s="468">
        <v>1.1112E-2</v>
      </c>
      <c r="E101" s="468">
        <v>3.1749999999999999E-3</v>
      </c>
      <c r="F101" s="469">
        <v>698.46</v>
      </c>
      <c r="G101" t="s">
        <v>519</v>
      </c>
    </row>
    <row r="102" spans="1:8" x14ac:dyDescent="0.2">
      <c r="A102">
        <v>101</v>
      </c>
      <c r="B102" t="s">
        <v>41</v>
      </c>
      <c r="C102" s="468"/>
      <c r="D102" s="468">
        <v>1.1112E-2</v>
      </c>
      <c r="E102" s="468">
        <v>3.1749999999999999E-3</v>
      </c>
      <c r="F102" s="469">
        <v>739.99</v>
      </c>
      <c r="G102" t="s">
        <v>519</v>
      </c>
    </row>
    <row r="103" spans="1:8" x14ac:dyDescent="0.2">
      <c r="A103">
        <v>102</v>
      </c>
      <c r="B103" t="s">
        <v>40</v>
      </c>
      <c r="C103" s="468"/>
      <c r="D103" s="468">
        <v>1.2699999999999999E-2</v>
      </c>
      <c r="E103" s="468">
        <v>3.1749999999999999E-3</v>
      </c>
      <c r="F103" s="469">
        <v>622.25</v>
      </c>
      <c r="G103" t="s">
        <v>532</v>
      </c>
      <c r="H103" t="s">
        <v>449</v>
      </c>
    </row>
    <row r="104" spans="1:8" x14ac:dyDescent="0.2">
      <c r="A104">
        <v>103</v>
      </c>
      <c r="B104" t="s">
        <v>36</v>
      </c>
      <c r="C104" s="468"/>
      <c r="D104" s="468">
        <v>1.2699999999999999E-2</v>
      </c>
      <c r="E104" s="468">
        <v>3.1749999999999999E-3</v>
      </c>
      <c r="F104" s="469">
        <v>659.26</v>
      </c>
      <c r="G104" t="s">
        <v>532</v>
      </c>
    </row>
    <row r="105" spans="1:8" x14ac:dyDescent="0.2">
      <c r="A105">
        <v>104</v>
      </c>
      <c r="B105" t="s">
        <v>37</v>
      </c>
      <c r="C105" s="468"/>
      <c r="D105" s="468">
        <v>1.1112E-2</v>
      </c>
      <c r="E105" s="468">
        <v>3.1749999999999999E-3</v>
      </c>
      <c r="F105" s="469">
        <v>698.46</v>
      </c>
      <c r="G105" t="s">
        <v>532</v>
      </c>
    </row>
    <row r="106" spans="1:8" x14ac:dyDescent="0.2">
      <c r="A106">
        <v>105</v>
      </c>
      <c r="B106" t="s">
        <v>42</v>
      </c>
      <c r="C106" s="468"/>
      <c r="D106" s="468">
        <v>1.1112E-2</v>
      </c>
      <c r="E106" s="468">
        <v>3.1749999999999999E-3</v>
      </c>
      <c r="F106" s="469">
        <v>783.99</v>
      </c>
      <c r="G106" t="s">
        <v>532</v>
      </c>
    </row>
    <row r="107" spans="1:8" x14ac:dyDescent="0.2">
      <c r="A107">
        <v>106</v>
      </c>
      <c r="B107" t="s">
        <v>46</v>
      </c>
      <c r="C107" s="468"/>
      <c r="D107" s="468">
        <v>9.5250000000000005E-3</v>
      </c>
      <c r="E107" s="468">
        <v>3.1749999999999999E-3</v>
      </c>
      <c r="F107" s="469">
        <v>830.61</v>
      </c>
      <c r="G107" t="s">
        <v>532</v>
      </c>
    </row>
    <row r="108" spans="1:8" x14ac:dyDescent="0.2">
      <c r="A108">
        <v>107</v>
      </c>
      <c r="B108" t="s">
        <v>47</v>
      </c>
      <c r="C108" s="468"/>
      <c r="D108" s="468">
        <v>9.5250000000000005E-3</v>
      </c>
      <c r="E108" s="468">
        <v>3.1749999999999999E-3</v>
      </c>
      <c r="F108" s="469">
        <v>880</v>
      </c>
      <c r="G108" t="s">
        <v>532</v>
      </c>
    </row>
    <row r="109" spans="1:8" x14ac:dyDescent="0.2">
      <c r="A109">
        <v>108</v>
      </c>
      <c r="B109" t="s">
        <v>50</v>
      </c>
      <c r="C109" s="468"/>
      <c r="D109" s="468">
        <v>9.5250000000000005E-3</v>
      </c>
      <c r="E109" s="468">
        <v>3.1749999999999999E-3</v>
      </c>
      <c r="F109" s="469">
        <v>932.33</v>
      </c>
      <c r="G109" t="s">
        <v>532</v>
      </c>
    </row>
    <row r="110" spans="1:8" x14ac:dyDescent="0.2">
      <c r="A110">
        <v>109</v>
      </c>
      <c r="B110" t="s">
        <v>54</v>
      </c>
      <c r="C110" s="468"/>
      <c r="D110" s="468">
        <v>9.5250000000000005E-3</v>
      </c>
      <c r="E110" s="468">
        <v>3.1749999999999999E-3</v>
      </c>
      <c r="F110" s="469">
        <v>987.77</v>
      </c>
      <c r="G110" t="s">
        <v>532</v>
      </c>
    </row>
    <row r="111" spans="1:8" x14ac:dyDescent="0.2">
      <c r="A111">
        <v>110</v>
      </c>
      <c r="B111" t="s">
        <v>55</v>
      </c>
      <c r="C111" s="468"/>
      <c r="D111" s="468">
        <v>6.3499999999999997E-3</v>
      </c>
      <c r="E111" s="468">
        <v>3.1749999999999999E-3</v>
      </c>
      <c r="F111" s="469">
        <v>1046.5</v>
      </c>
      <c r="G111" t="s">
        <v>532</v>
      </c>
    </row>
    <row r="112" spans="1:8" x14ac:dyDescent="0.2">
      <c r="A112">
        <v>111</v>
      </c>
      <c r="B112" t="s">
        <v>246</v>
      </c>
      <c r="C112" s="468"/>
      <c r="D112" s="468">
        <v>6.3499999999999997E-3</v>
      </c>
      <c r="E112" s="468">
        <v>3.1749999999999999E-3</v>
      </c>
      <c r="F112" s="469">
        <v>1108.73</v>
      </c>
      <c r="G112" t="s">
        <v>532</v>
      </c>
    </row>
    <row r="113" spans="1:8" x14ac:dyDescent="0.2">
      <c r="A113">
        <v>112</v>
      </c>
      <c r="B113" t="s">
        <v>11</v>
      </c>
      <c r="C113" s="468"/>
      <c r="D113" s="468">
        <v>2.2225000000000002E-2</v>
      </c>
      <c r="E113" s="468">
        <v>4.7619999999999997E-3</v>
      </c>
      <c r="F113" s="469">
        <v>349.23</v>
      </c>
      <c r="G113" t="s">
        <v>407</v>
      </c>
      <c r="H113" t="s">
        <v>421</v>
      </c>
    </row>
    <row r="114" spans="1:8" x14ac:dyDescent="0.2">
      <c r="A114">
        <v>113</v>
      </c>
      <c r="B114" t="s">
        <v>424</v>
      </c>
      <c r="C114" s="468"/>
      <c r="D114" s="468">
        <v>2.2225000000000002E-2</v>
      </c>
      <c r="E114" s="468">
        <v>4.7619999999999997E-3</v>
      </c>
      <c r="F114" s="469">
        <v>369.99</v>
      </c>
      <c r="G114" t="s">
        <v>545</v>
      </c>
      <c r="H114" t="s">
        <v>460</v>
      </c>
    </row>
    <row r="115" spans="1:8" x14ac:dyDescent="0.2">
      <c r="A115">
        <v>114</v>
      </c>
      <c r="B115" t="s">
        <v>27</v>
      </c>
      <c r="C115" s="468"/>
      <c r="D115" s="468">
        <v>1.9050000000000001E-2</v>
      </c>
      <c r="E115" s="468">
        <v>4.7619999999999997E-3</v>
      </c>
      <c r="F115" s="469">
        <v>392</v>
      </c>
      <c r="G115" t="s">
        <v>407</v>
      </c>
      <c r="H115" t="s">
        <v>492</v>
      </c>
    </row>
    <row r="116" spans="1:8" x14ac:dyDescent="0.2">
      <c r="A116">
        <v>115</v>
      </c>
      <c r="B116" t="s">
        <v>28</v>
      </c>
      <c r="C116" s="468"/>
      <c r="D116" s="468">
        <v>1.9050000000000001E-2</v>
      </c>
      <c r="E116" s="468">
        <v>4.7619999999999997E-3</v>
      </c>
      <c r="F116" s="469">
        <v>415.3</v>
      </c>
      <c r="G116" t="s">
        <v>407</v>
      </c>
      <c r="H116" t="s">
        <v>430</v>
      </c>
    </row>
    <row r="117" spans="1:8" x14ac:dyDescent="0.2">
      <c r="A117">
        <v>116</v>
      </c>
      <c r="B117" t="s">
        <v>29</v>
      </c>
      <c r="C117" s="468"/>
      <c r="D117" s="468">
        <v>1.9050000000000001E-2</v>
      </c>
      <c r="E117" s="468">
        <v>4.7619999999999997E-3</v>
      </c>
      <c r="F117" s="469">
        <v>440</v>
      </c>
      <c r="G117" t="s">
        <v>407</v>
      </c>
      <c r="H117" t="s">
        <v>470</v>
      </c>
    </row>
    <row r="118" spans="1:8" x14ac:dyDescent="0.2">
      <c r="A118">
        <v>117</v>
      </c>
      <c r="B118" t="s">
        <v>30</v>
      </c>
      <c r="C118" s="468"/>
      <c r="D118" s="468">
        <v>1.9050000000000001E-2</v>
      </c>
      <c r="E118" s="468">
        <v>4.7619999999999997E-3</v>
      </c>
      <c r="F118" s="469">
        <v>466.16</v>
      </c>
      <c r="G118" t="s">
        <v>407</v>
      </c>
      <c r="H118" t="s">
        <v>436</v>
      </c>
    </row>
    <row r="119" spans="1:8" x14ac:dyDescent="0.2">
      <c r="A119">
        <v>118</v>
      </c>
      <c r="B119" t="s">
        <v>31</v>
      </c>
      <c r="C119" s="468"/>
      <c r="D119" s="468">
        <v>1.5875E-2</v>
      </c>
      <c r="E119" s="468">
        <v>4.7619999999999997E-3</v>
      </c>
      <c r="F119" s="469">
        <v>493.88</v>
      </c>
      <c r="G119" t="s">
        <v>407</v>
      </c>
      <c r="H119" t="s">
        <v>473</v>
      </c>
    </row>
    <row r="120" spans="1:8" x14ac:dyDescent="0.2">
      <c r="A120">
        <v>119</v>
      </c>
      <c r="B120" t="s">
        <v>34</v>
      </c>
      <c r="C120" s="468"/>
      <c r="D120" s="468">
        <v>1.5875E-2</v>
      </c>
      <c r="E120" s="468">
        <v>4.7619999999999997E-3</v>
      </c>
      <c r="F120" s="469">
        <v>587.33000000000004</v>
      </c>
      <c r="G120" t="s">
        <v>407</v>
      </c>
      <c r="H120" t="s">
        <v>552</v>
      </c>
    </row>
    <row r="121" spans="1:8" x14ac:dyDescent="0.2">
      <c r="A121">
        <v>120</v>
      </c>
      <c r="B121" t="s">
        <v>46</v>
      </c>
      <c r="C121" s="468"/>
      <c r="D121" s="468">
        <v>9.5250000000000005E-3</v>
      </c>
      <c r="E121" s="468">
        <v>3.1749999999999999E-3</v>
      </c>
      <c r="F121" s="469">
        <v>830.61</v>
      </c>
      <c r="G121" t="s">
        <v>407</v>
      </c>
    </row>
    <row r="122" spans="1:8" x14ac:dyDescent="0.2">
      <c r="A122">
        <v>121</v>
      </c>
      <c r="B122" t="s">
        <v>47</v>
      </c>
      <c r="C122" s="468"/>
      <c r="D122" s="468">
        <v>9.5250000000000005E-3</v>
      </c>
      <c r="E122" s="468">
        <v>3.1749999999999999E-3</v>
      </c>
      <c r="F122" s="469">
        <v>880</v>
      </c>
      <c r="G122" t="s">
        <v>407</v>
      </c>
    </row>
    <row r="123" spans="1:8" x14ac:dyDescent="0.2">
      <c r="A123">
        <v>122</v>
      </c>
      <c r="B123" t="s">
        <v>50</v>
      </c>
      <c r="C123" s="468"/>
      <c r="D123" s="468">
        <v>9.5250000000000005E-3</v>
      </c>
      <c r="E123" s="468">
        <v>3.1749999999999999E-3</v>
      </c>
      <c r="F123" s="469">
        <v>932.33</v>
      </c>
      <c r="G123" t="s">
        <v>407</v>
      </c>
    </row>
    <row r="124" spans="1:8" x14ac:dyDescent="0.2">
      <c r="A124">
        <v>123</v>
      </c>
      <c r="B124" t="s">
        <v>54</v>
      </c>
      <c r="C124" s="468"/>
      <c r="D124" s="468">
        <v>9.5250000000000005E-3</v>
      </c>
      <c r="E124" s="468">
        <v>3.1749999999999999E-3</v>
      </c>
      <c r="F124" s="469">
        <v>987.77</v>
      </c>
      <c r="G124" t="s">
        <v>407</v>
      </c>
    </row>
    <row r="125" spans="1:8" x14ac:dyDescent="0.2">
      <c r="A125">
        <v>124</v>
      </c>
      <c r="B125" t="s">
        <v>40</v>
      </c>
      <c r="C125" s="468"/>
      <c r="D125" s="468">
        <v>1.2699999999999999E-2</v>
      </c>
      <c r="E125" s="468">
        <v>3.1749999999999999E-3</v>
      </c>
      <c r="F125" s="469">
        <v>622.25</v>
      </c>
      <c r="G125" t="s">
        <v>558</v>
      </c>
      <c r="H125" t="s">
        <v>449</v>
      </c>
    </row>
    <row r="126" spans="1:8" x14ac:dyDescent="0.2">
      <c r="A126">
        <v>125</v>
      </c>
      <c r="B126" t="s">
        <v>29</v>
      </c>
      <c r="C126" s="468"/>
      <c r="D126" s="468">
        <v>1.9050000000000001E-2</v>
      </c>
      <c r="E126" s="468">
        <v>4.7619999999999997E-3</v>
      </c>
      <c r="F126" s="469">
        <v>440</v>
      </c>
      <c r="G126" t="s">
        <v>558</v>
      </c>
      <c r="H126" t="s">
        <v>470</v>
      </c>
    </row>
    <row r="127" spans="1:8" x14ac:dyDescent="0.2">
      <c r="A127">
        <v>126</v>
      </c>
      <c r="B127" t="s">
        <v>30</v>
      </c>
      <c r="C127" s="468"/>
      <c r="D127" s="468">
        <v>1.9050000000000001E-2</v>
      </c>
      <c r="E127" s="468">
        <v>4.7619999999999997E-3</v>
      </c>
      <c r="F127" s="469">
        <v>466.16</v>
      </c>
      <c r="G127" t="s">
        <v>558</v>
      </c>
      <c r="H127" t="s">
        <v>436</v>
      </c>
    </row>
    <row r="128" spans="1:8" x14ac:dyDescent="0.2">
      <c r="A128">
        <v>127</v>
      </c>
      <c r="B128" t="s">
        <v>31</v>
      </c>
      <c r="C128" s="468"/>
      <c r="D128" s="468">
        <v>1.5875E-2</v>
      </c>
      <c r="E128" s="468">
        <v>4.7619999999999997E-3</v>
      </c>
      <c r="F128" s="469">
        <v>493.88</v>
      </c>
      <c r="G128" t="s">
        <v>558</v>
      </c>
      <c r="H128" t="s">
        <v>473</v>
      </c>
    </row>
    <row r="129" spans="1:8" x14ac:dyDescent="0.2">
      <c r="A129">
        <v>128</v>
      </c>
      <c r="B129" t="s">
        <v>32</v>
      </c>
      <c r="C129" s="468"/>
      <c r="D129" s="468">
        <v>1.5875E-2</v>
      </c>
      <c r="E129" s="468">
        <v>4.7619999999999997E-3</v>
      </c>
      <c r="F129" s="469">
        <v>523.25</v>
      </c>
      <c r="G129" t="s">
        <v>558</v>
      </c>
      <c r="H129" t="s">
        <v>475</v>
      </c>
    </row>
    <row r="130" spans="1:8" x14ac:dyDescent="0.2">
      <c r="A130">
        <v>129</v>
      </c>
      <c r="B130" t="s">
        <v>27</v>
      </c>
      <c r="C130" s="468"/>
      <c r="D130" s="468">
        <v>1.9050000000000001E-2</v>
      </c>
      <c r="E130" s="468">
        <v>4.7619999999999997E-3</v>
      </c>
      <c r="F130" s="469">
        <v>392</v>
      </c>
      <c r="G130" t="s">
        <v>558</v>
      </c>
      <c r="H130" t="s">
        <v>492</v>
      </c>
    </row>
    <row r="131" spans="1:8" x14ac:dyDescent="0.2">
      <c r="A131">
        <v>130</v>
      </c>
      <c r="B131" t="s">
        <v>28</v>
      </c>
      <c r="C131" s="468"/>
      <c r="D131" s="468">
        <v>1.9050000000000001E-2</v>
      </c>
      <c r="E131" s="468">
        <v>4.7619999999999997E-3</v>
      </c>
      <c r="F131" s="469">
        <v>415.3</v>
      </c>
      <c r="G131" t="s">
        <v>558</v>
      </c>
      <c r="H131" t="s">
        <v>430</v>
      </c>
    </row>
    <row r="132" spans="1:8" x14ac:dyDescent="0.2">
      <c r="A132">
        <v>131</v>
      </c>
      <c r="B132" t="s">
        <v>34</v>
      </c>
      <c r="C132" s="468"/>
      <c r="D132" s="468">
        <v>1.5875E-2</v>
      </c>
      <c r="E132" s="468">
        <v>4.7619999999999997E-3</v>
      </c>
      <c r="F132" s="469">
        <v>587.33000000000004</v>
      </c>
      <c r="G132" t="s">
        <v>566</v>
      </c>
      <c r="H132" t="s">
        <v>552</v>
      </c>
    </row>
    <row r="133" spans="1:8" x14ac:dyDescent="0.2">
      <c r="A133">
        <v>132</v>
      </c>
      <c r="B133" t="s">
        <v>27</v>
      </c>
      <c r="C133" s="468"/>
      <c r="D133" s="468">
        <v>1.9050000000000001E-2</v>
      </c>
      <c r="E133" s="468">
        <v>4.7619999999999997E-3</v>
      </c>
      <c r="F133" s="469">
        <v>392</v>
      </c>
      <c r="G133" t="s">
        <v>386</v>
      </c>
      <c r="H133" t="s">
        <v>568</v>
      </c>
    </row>
    <row r="134" spans="1:8" x14ac:dyDescent="0.2">
      <c r="A134">
        <v>133</v>
      </c>
      <c r="B134" t="s">
        <v>11</v>
      </c>
      <c r="C134" s="468"/>
      <c r="D134" s="468">
        <v>2.2225000000000002E-2</v>
      </c>
      <c r="E134" s="468">
        <v>4.7619999999999997E-3</v>
      </c>
      <c r="F134" s="469">
        <v>349.23</v>
      </c>
      <c r="G134" t="s">
        <v>386</v>
      </c>
      <c r="H134" t="s">
        <v>568</v>
      </c>
    </row>
    <row r="135" spans="1:8" x14ac:dyDescent="0.2">
      <c r="A135">
        <v>134</v>
      </c>
      <c r="B135" t="s">
        <v>29</v>
      </c>
      <c r="C135" s="468"/>
      <c r="D135" s="468">
        <v>1.9050000000000001E-2</v>
      </c>
      <c r="E135" s="468">
        <v>4.7619999999999997E-3</v>
      </c>
      <c r="F135" s="469">
        <v>440</v>
      </c>
      <c r="G135" t="s">
        <v>506</v>
      </c>
      <c r="H135" t="s">
        <v>568</v>
      </c>
    </row>
    <row r="136" spans="1:8" x14ac:dyDescent="0.2">
      <c r="A136">
        <v>135</v>
      </c>
      <c r="B136" t="s">
        <v>32</v>
      </c>
      <c r="C136" s="468"/>
      <c r="D136" s="468">
        <v>1.5875E-2</v>
      </c>
      <c r="E136" s="468">
        <v>4.7619999999999997E-3</v>
      </c>
      <c r="F136" s="469">
        <v>523.25</v>
      </c>
      <c r="G136" t="s">
        <v>573</v>
      </c>
      <c r="H136" t="s">
        <v>574</v>
      </c>
    </row>
    <row r="137" spans="1:8" x14ac:dyDescent="0.2">
      <c r="A137">
        <v>136</v>
      </c>
      <c r="B137" t="s">
        <v>31</v>
      </c>
      <c r="C137" s="468"/>
      <c r="D137" s="468">
        <v>1.5875E-2</v>
      </c>
      <c r="E137" s="468">
        <v>4.7619999999999997E-3</v>
      </c>
      <c r="F137" s="469">
        <v>493.88</v>
      </c>
      <c r="G137" t="s">
        <v>393</v>
      </c>
      <c r="H137" t="s">
        <v>577</v>
      </c>
    </row>
    <row r="138" spans="1:8" x14ac:dyDescent="0.2">
      <c r="A138">
        <v>137</v>
      </c>
      <c r="B138" t="s">
        <v>30</v>
      </c>
      <c r="C138" s="468"/>
      <c r="D138" s="468">
        <v>1.9050000000000001E-2</v>
      </c>
      <c r="E138" s="468">
        <v>4.7619999999999997E-3</v>
      </c>
      <c r="F138" s="469">
        <v>466.16</v>
      </c>
      <c r="G138" t="s">
        <v>579</v>
      </c>
    </row>
    <row r="139" spans="1:8" x14ac:dyDescent="0.2">
      <c r="A139">
        <v>138</v>
      </c>
      <c r="B139" t="s">
        <v>31</v>
      </c>
      <c r="C139" s="468"/>
      <c r="D139" s="468">
        <v>1.5875E-2</v>
      </c>
      <c r="E139" s="468">
        <v>4.7619999999999997E-3</v>
      </c>
      <c r="F139" s="469">
        <v>493.88</v>
      </c>
      <c r="G139" t="s">
        <v>579</v>
      </c>
    </row>
    <row r="140" spans="1:8" x14ac:dyDescent="0.2">
      <c r="A140">
        <v>139</v>
      </c>
      <c r="B140" t="s">
        <v>32</v>
      </c>
      <c r="C140" s="468"/>
      <c r="D140" s="468">
        <v>1.5875E-2</v>
      </c>
      <c r="E140" s="468">
        <v>4.7619999999999997E-3</v>
      </c>
      <c r="F140" s="469">
        <v>523.25</v>
      </c>
      <c r="G140" t="s">
        <v>579</v>
      </c>
    </row>
    <row r="141" spans="1:8" x14ac:dyDescent="0.2">
      <c r="A141">
        <v>140</v>
      </c>
      <c r="B141" t="s">
        <v>32</v>
      </c>
      <c r="C141" s="468"/>
      <c r="D141" s="468">
        <v>1.5875E-2</v>
      </c>
      <c r="E141" s="468">
        <v>4.7619999999999997E-3</v>
      </c>
      <c r="F141" s="469">
        <v>523.25</v>
      </c>
      <c r="G141" t="s">
        <v>579</v>
      </c>
    </row>
    <row r="142" spans="1:8" x14ac:dyDescent="0.2">
      <c r="A142">
        <v>141</v>
      </c>
      <c r="B142" t="s">
        <v>33</v>
      </c>
      <c r="C142" s="468"/>
      <c r="D142" s="468">
        <v>1.5875E-2</v>
      </c>
      <c r="E142" s="468">
        <v>4.7619999999999997E-3</v>
      </c>
      <c r="F142" s="469">
        <v>554.37</v>
      </c>
      <c r="G142" t="s">
        <v>579</v>
      </c>
    </row>
    <row r="143" spans="1:8" x14ac:dyDescent="0.2">
      <c r="A143">
        <v>142</v>
      </c>
      <c r="B143" t="s">
        <v>34</v>
      </c>
      <c r="C143" s="468"/>
      <c r="D143" s="468">
        <v>1.5875E-2</v>
      </c>
      <c r="E143" s="468">
        <v>4.7619999999999997E-3</v>
      </c>
      <c r="F143" s="469">
        <v>587.33000000000004</v>
      </c>
      <c r="G143" t="s">
        <v>579</v>
      </c>
    </row>
    <row r="144" spans="1:8" x14ac:dyDescent="0.2">
      <c r="A144">
        <v>143</v>
      </c>
      <c r="B144" t="s">
        <v>27</v>
      </c>
      <c r="C144" s="468"/>
      <c r="D144" s="468">
        <v>1.9050000000000001E-2</v>
      </c>
      <c r="E144" s="468">
        <v>4.7619999999999997E-3</v>
      </c>
      <c r="F144" s="469">
        <v>392</v>
      </c>
      <c r="G144" t="s">
        <v>586</v>
      </c>
    </row>
    <row r="145" spans="1:7" x14ac:dyDescent="0.2">
      <c r="A145">
        <v>144</v>
      </c>
      <c r="B145" t="s">
        <v>25</v>
      </c>
      <c r="C145" s="468"/>
      <c r="D145" s="468">
        <v>2.2225000000000002E-2</v>
      </c>
      <c r="E145" s="468">
        <v>4.7619999999999997E-3</v>
      </c>
      <c r="F145" s="469">
        <v>329.63</v>
      </c>
      <c r="G145" t="s">
        <v>588</v>
      </c>
    </row>
    <row r="146" spans="1:7" x14ac:dyDescent="0.2">
      <c r="A146">
        <v>145</v>
      </c>
      <c r="B146" t="s">
        <v>11</v>
      </c>
      <c r="C146" s="468"/>
      <c r="D146" s="468">
        <v>2.2225000000000002E-2</v>
      </c>
      <c r="E146" s="468">
        <v>4.7619999999999997E-3</v>
      </c>
      <c r="F146" s="469">
        <v>349.23</v>
      </c>
      <c r="G146" t="s">
        <v>588</v>
      </c>
    </row>
    <row r="147" spans="1:7" x14ac:dyDescent="0.2">
      <c r="A147">
        <v>146</v>
      </c>
      <c r="B147" t="s">
        <v>26</v>
      </c>
      <c r="C147" s="468"/>
      <c r="D147" s="468">
        <v>2.2225000000000002E-2</v>
      </c>
      <c r="E147" s="468">
        <v>4.7619999999999997E-3</v>
      </c>
      <c r="F147" s="469">
        <v>369.99</v>
      </c>
      <c r="G147" t="s">
        <v>588</v>
      </c>
    </row>
    <row r="148" spans="1:7" x14ac:dyDescent="0.2">
      <c r="A148">
        <v>147</v>
      </c>
      <c r="B148" t="s">
        <v>27</v>
      </c>
      <c r="C148" s="468"/>
      <c r="D148" s="468">
        <v>1.9050000000000001E-2</v>
      </c>
      <c r="E148" s="468">
        <v>4.7619999999999997E-3</v>
      </c>
      <c r="F148" s="469">
        <v>392</v>
      </c>
      <c r="G148" t="s">
        <v>588</v>
      </c>
    </row>
    <row r="149" spans="1:7" x14ac:dyDescent="0.2">
      <c r="A149">
        <v>148</v>
      </c>
      <c r="B149" t="s">
        <v>28</v>
      </c>
      <c r="C149" s="468"/>
      <c r="D149" s="468">
        <v>1.9050000000000001E-2</v>
      </c>
      <c r="E149" s="468">
        <v>4.7619999999999997E-3</v>
      </c>
      <c r="F149" s="469">
        <v>415.3</v>
      </c>
      <c r="G149" t="s">
        <v>594</v>
      </c>
    </row>
    <row r="150" spans="1:7" x14ac:dyDescent="0.2">
      <c r="A150">
        <v>149</v>
      </c>
      <c r="B150" t="s">
        <v>29</v>
      </c>
      <c r="C150" s="468"/>
      <c r="D150" s="468">
        <v>1.9050000000000001E-2</v>
      </c>
      <c r="E150" s="468">
        <v>4.7619999999999997E-3</v>
      </c>
      <c r="F150" s="469">
        <v>440</v>
      </c>
      <c r="G150" t="s">
        <v>594</v>
      </c>
    </row>
    <row r="151" spans="1:7" x14ac:dyDescent="0.2">
      <c r="A151">
        <v>150</v>
      </c>
      <c r="B151" t="s">
        <v>30</v>
      </c>
      <c r="C151" s="468"/>
      <c r="D151" s="468">
        <v>1.9050000000000001E-2</v>
      </c>
      <c r="E151" s="468">
        <v>4.7619999999999997E-3</v>
      </c>
      <c r="F151" s="469">
        <v>466.16</v>
      </c>
      <c r="G151" t="s">
        <v>588</v>
      </c>
    </row>
    <row r="152" spans="1:7" x14ac:dyDescent="0.2">
      <c r="A152">
        <v>151</v>
      </c>
      <c r="B152" t="s">
        <v>31</v>
      </c>
      <c r="C152" s="468"/>
      <c r="D152" s="468">
        <v>1.5875E-2</v>
      </c>
      <c r="E152" s="468">
        <v>4.7619999999999997E-3</v>
      </c>
      <c r="F152" s="469">
        <v>493.88</v>
      </c>
      <c r="G152" t="s">
        <v>594</v>
      </c>
    </row>
    <row r="153" spans="1:7" x14ac:dyDescent="0.2">
      <c r="A153">
        <v>152</v>
      </c>
      <c r="B153" t="s">
        <v>32</v>
      </c>
      <c r="C153" s="468"/>
      <c r="D153" s="468">
        <v>1.5875E-2</v>
      </c>
      <c r="E153" s="468">
        <v>4.7619999999999997E-3</v>
      </c>
      <c r="F153" s="469">
        <v>523.25</v>
      </c>
      <c r="G153" t="s">
        <v>594</v>
      </c>
    </row>
    <row r="154" spans="1:7" x14ac:dyDescent="0.2">
      <c r="A154">
        <v>153</v>
      </c>
      <c r="B154" t="s">
        <v>33</v>
      </c>
      <c r="C154" s="468"/>
      <c r="D154" s="468">
        <v>1.5875E-2</v>
      </c>
      <c r="E154" s="468">
        <v>4.7619999999999997E-3</v>
      </c>
      <c r="F154" s="469">
        <v>554.37</v>
      </c>
      <c r="G154" t="s">
        <v>594</v>
      </c>
    </row>
    <row r="157" spans="1:7" ht="18" x14ac:dyDescent="0.25">
      <c r="A157" s="838" t="s">
        <v>7486</v>
      </c>
    </row>
    <row r="158" spans="1:7" x14ac:dyDescent="0.2">
      <c r="A158" s="734" t="s">
        <v>7487</v>
      </c>
    </row>
    <row r="160" spans="1:7" x14ac:dyDescent="0.2">
      <c r="A160" t="s">
        <v>7488</v>
      </c>
    </row>
    <row r="162" spans="1:1" x14ac:dyDescent="0.2">
      <c r="A162" s="839" t="s">
        <v>7489</v>
      </c>
    </row>
    <row r="163" spans="1:1" x14ac:dyDescent="0.2">
      <c r="A163" s="842" t="s">
        <v>7490</v>
      </c>
    </row>
    <row r="164" spans="1:1" x14ac:dyDescent="0.2">
      <c r="A164" s="842" t="s">
        <v>7491</v>
      </c>
    </row>
    <row r="165" spans="1:1" x14ac:dyDescent="0.2">
      <c r="A165" s="842" t="s">
        <v>7492</v>
      </c>
    </row>
    <row r="166" spans="1:1" x14ac:dyDescent="0.2">
      <c r="A166" s="842" t="s">
        <v>7493</v>
      </c>
    </row>
    <row r="167" spans="1:1" x14ac:dyDescent="0.2">
      <c r="A167" s="842" t="s">
        <v>7494</v>
      </c>
    </row>
    <row r="168" spans="1:1" x14ac:dyDescent="0.2">
      <c r="A168" s="842" t="s">
        <v>7495</v>
      </c>
    </row>
    <row r="169" spans="1:1" x14ac:dyDescent="0.2">
      <c r="A169" s="842" t="s">
        <v>7496</v>
      </c>
    </row>
    <row r="171" spans="1:1" x14ac:dyDescent="0.2">
      <c r="A171" s="846" t="s">
        <v>7497</v>
      </c>
    </row>
    <row r="172" spans="1:1" x14ac:dyDescent="0.2">
      <c r="A172" s="842" t="s">
        <v>7498</v>
      </c>
    </row>
    <row r="173" spans="1:1" x14ac:dyDescent="0.2">
      <c r="A173" s="842" t="s">
        <v>7499</v>
      </c>
    </row>
    <row r="174" spans="1:1" x14ac:dyDescent="0.2">
      <c r="A174" s="842" t="s">
        <v>7500</v>
      </c>
    </row>
    <row r="175" spans="1:1" x14ac:dyDescent="0.2">
      <c r="A175" s="842" t="s">
        <v>7501</v>
      </c>
    </row>
    <row r="177" spans="1:1" x14ac:dyDescent="0.2">
      <c r="A177" s="846" t="s">
        <v>7502</v>
      </c>
    </row>
    <row r="178" spans="1:1" x14ac:dyDescent="0.2">
      <c r="A178" s="842" t="s">
        <v>7503</v>
      </c>
    </row>
    <row r="179" spans="1:1" x14ac:dyDescent="0.2">
      <c r="A179" s="842" t="s">
        <v>7504</v>
      </c>
    </row>
    <row r="180" spans="1:1" x14ac:dyDescent="0.2">
      <c r="A180" s="842" t="s">
        <v>7505</v>
      </c>
    </row>
    <row r="181" spans="1:1" x14ac:dyDescent="0.2">
      <c r="A181" s="842" t="s">
        <v>7506</v>
      </c>
    </row>
    <row r="183" spans="1:1" x14ac:dyDescent="0.2">
      <c r="A183" s="846" t="s">
        <v>7507</v>
      </c>
    </row>
    <row r="184" spans="1:1" x14ac:dyDescent="0.2">
      <c r="A184" s="842" t="s">
        <v>7508</v>
      </c>
    </row>
    <row r="185" spans="1:1" x14ac:dyDescent="0.2">
      <c r="A185" s="842" t="s">
        <v>7509</v>
      </c>
    </row>
    <row r="186" spans="1:1" x14ac:dyDescent="0.2">
      <c r="A186" s="842" t="s">
        <v>7510</v>
      </c>
    </row>
    <row r="187" spans="1:1" x14ac:dyDescent="0.2">
      <c r="A187" s="842" t="s">
        <v>7511</v>
      </c>
    </row>
    <row r="188" spans="1:1" x14ac:dyDescent="0.2">
      <c r="A188" s="842" t="s">
        <v>7512</v>
      </c>
    </row>
    <row r="190" spans="1:1" x14ac:dyDescent="0.2">
      <c r="A190" s="846" t="s">
        <v>7513</v>
      </c>
    </row>
    <row r="191" spans="1:1" x14ac:dyDescent="0.2">
      <c r="A191" s="842" t="s">
        <v>7514</v>
      </c>
    </row>
    <row r="192" spans="1:1" x14ac:dyDescent="0.2">
      <c r="A192" s="842" t="s">
        <v>7515</v>
      </c>
    </row>
    <row r="193" spans="1:1" x14ac:dyDescent="0.2">
      <c r="A193" s="842" t="s">
        <v>7516</v>
      </c>
    </row>
    <row r="194" spans="1:1" x14ac:dyDescent="0.2">
      <c r="A194" s="842" t="s">
        <v>7517</v>
      </c>
    </row>
    <row r="196" spans="1:1" x14ac:dyDescent="0.2">
      <c r="A196" s="846" t="s">
        <v>7518</v>
      </c>
    </row>
    <row r="197" spans="1:1" x14ac:dyDescent="0.2">
      <c r="A197" s="842" t="s">
        <v>7519</v>
      </c>
    </row>
    <row r="198" spans="1:1" x14ac:dyDescent="0.2">
      <c r="A198" s="842" t="s">
        <v>7520</v>
      </c>
    </row>
    <row r="199" spans="1:1" x14ac:dyDescent="0.2">
      <c r="A199" s="842" t="s">
        <v>7521</v>
      </c>
    </row>
    <row r="200" spans="1:1" x14ac:dyDescent="0.2">
      <c r="A200" s="842" t="s">
        <v>7522</v>
      </c>
    </row>
    <row r="202" spans="1:1" x14ac:dyDescent="0.2">
      <c r="A202" s="846" t="s">
        <v>7523</v>
      </c>
    </row>
    <row r="203" spans="1:1" x14ac:dyDescent="0.2">
      <c r="A203" s="842" t="s">
        <v>7524</v>
      </c>
    </row>
    <row r="204" spans="1:1" x14ac:dyDescent="0.2">
      <c r="A204" s="842" t="s">
        <v>7525</v>
      </c>
    </row>
    <row r="205" spans="1:1" x14ac:dyDescent="0.2">
      <c r="A205" s="842" t="s">
        <v>7526</v>
      </c>
    </row>
    <row r="206" spans="1:1" x14ac:dyDescent="0.2">
      <c r="A206" s="842" t="s">
        <v>7527</v>
      </c>
    </row>
    <row r="208" spans="1:1" x14ac:dyDescent="0.2">
      <c r="A208" s="846" t="s">
        <v>7528</v>
      </c>
    </row>
    <row r="209" spans="1:1" x14ac:dyDescent="0.2">
      <c r="A209" s="842" t="s">
        <v>7529</v>
      </c>
    </row>
    <row r="210" spans="1:1" x14ac:dyDescent="0.2">
      <c r="A210" s="842" t="s">
        <v>7530</v>
      </c>
    </row>
    <row r="211" spans="1:1" x14ac:dyDescent="0.2">
      <c r="A211" s="842" t="s">
        <v>7531</v>
      </c>
    </row>
    <row r="212" spans="1:1" x14ac:dyDescent="0.2">
      <c r="A212" s="842" t="s">
        <v>7532</v>
      </c>
    </row>
    <row r="213" spans="1:1" x14ac:dyDescent="0.2">
      <c r="A213" s="842" t="s">
        <v>7533</v>
      </c>
    </row>
    <row r="215" spans="1:1" x14ac:dyDescent="0.2">
      <c r="A215" s="846" t="s">
        <v>7534</v>
      </c>
    </row>
    <row r="216" spans="1:1" x14ac:dyDescent="0.2">
      <c r="A216" s="842" t="s">
        <v>7535</v>
      </c>
    </row>
    <row r="217" spans="1:1" x14ac:dyDescent="0.2">
      <c r="A217" s="842" t="s">
        <v>7536</v>
      </c>
    </row>
    <row r="218" spans="1:1" x14ac:dyDescent="0.2">
      <c r="A218" s="842" t="s">
        <v>7537</v>
      </c>
    </row>
    <row r="219" spans="1:1" x14ac:dyDescent="0.2">
      <c r="A219" s="842" t="s">
        <v>7538</v>
      </c>
    </row>
    <row r="221" spans="1:1" x14ac:dyDescent="0.2">
      <c r="A221" s="846" t="s">
        <v>7539</v>
      </c>
    </row>
    <row r="222" spans="1:1" x14ac:dyDescent="0.2">
      <c r="A222" s="842" t="s">
        <v>7540</v>
      </c>
    </row>
    <row r="223" spans="1:1" x14ac:dyDescent="0.2">
      <c r="A223" s="842" t="s">
        <v>7541</v>
      </c>
    </row>
    <row r="224" spans="1:1" x14ac:dyDescent="0.2">
      <c r="A224" s="842" t="s">
        <v>7542</v>
      </c>
    </row>
    <row r="225" spans="1:1" x14ac:dyDescent="0.2">
      <c r="A225" s="842" t="s">
        <v>7543</v>
      </c>
    </row>
    <row r="226" spans="1:1" x14ac:dyDescent="0.2">
      <c r="A226" s="842" t="s">
        <v>7544</v>
      </c>
    </row>
    <row r="228" spans="1:1" x14ac:dyDescent="0.2">
      <c r="A228" s="846" t="s">
        <v>7545</v>
      </c>
    </row>
    <row r="229" spans="1:1" x14ac:dyDescent="0.2">
      <c r="A229" s="842" t="s">
        <v>7546</v>
      </c>
    </row>
    <row r="230" spans="1:1" x14ac:dyDescent="0.2">
      <c r="A230" s="842" t="s">
        <v>7547</v>
      </c>
    </row>
    <row r="231" spans="1:1" x14ac:dyDescent="0.2">
      <c r="A231" s="842" t="s">
        <v>7548</v>
      </c>
    </row>
    <row r="232" spans="1:1" x14ac:dyDescent="0.2">
      <c r="A232" s="842" t="s">
        <v>7549</v>
      </c>
    </row>
    <row r="233" spans="1:1" x14ac:dyDescent="0.2">
      <c r="A233" s="842" t="s">
        <v>7550</v>
      </c>
    </row>
    <row r="234" spans="1:1" x14ac:dyDescent="0.2">
      <c r="A234" s="842" t="s">
        <v>7551</v>
      </c>
    </row>
    <row r="236" spans="1:1" x14ac:dyDescent="0.2">
      <c r="A236" s="846" t="s">
        <v>7552</v>
      </c>
    </row>
    <row r="237" spans="1:1" x14ac:dyDescent="0.2">
      <c r="A237" s="842" t="s">
        <v>7553</v>
      </c>
    </row>
    <row r="238" spans="1:1" x14ac:dyDescent="0.2">
      <c r="A238" s="842" t="s">
        <v>7554</v>
      </c>
    </row>
    <row r="239" spans="1:1" x14ac:dyDescent="0.2">
      <c r="A239" s="842" t="s">
        <v>7555</v>
      </c>
    </row>
    <row r="241" spans="1:1" x14ac:dyDescent="0.2">
      <c r="A241" s="846" t="s">
        <v>7556</v>
      </c>
    </row>
    <row r="242" spans="1:1" x14ac:dyDescent="0.2">
      <c r="A242" s="842" t="s">
        <v>7557</v>
      </c>
    </row>
    <row r="243" spans="1:1" x14ac:dyDescent="0.2">
      <c r="A243" s="842" t="s">
        <v>7558</v>
      </c>
    </row>
    <row r="244" spans="1:1" x14ac:dyDescent="0.2">
      <c r="A244" s="842" t="s">
        <v>7559</v>
      </c>
    </row>
    <row r="246" spans="1:1" x14ac:dyDescent="0.2">
      <c r="A246" s="846" t="s">
        <v>7560</v>
      </c>
    </row>
    <row r="247" spans="1:1" x14ac:dyDescent="0.2">
      <c r="A247" s="842" t="s">
        <v>7561</v>
      </c>
    </row>
    <row r="248" spans="1:1" x14ac:dyDescent="0.2">
      <c r="A248" s="842" t="s">
        <v>7562</v>
      </c>
    </row>
    <row r="249" spans="1:1" x14ac:dyDescent="0.2">
      <c r="A249" s="842" t="s">
        <v>7563</v>
      </c>
    </row>
    <row r="251" spans="1:1" x14ac:dyDescent="0.2">
      <c r="A251" s="734" t="s">
        <v>7564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DF301-92E4-411C-822F-239ED4337E2D}">
  <dimension ref="A1:AA90"/>
  <sheetViews>
    <sheetView workbookViewId="0"/>
  </sheetViews>
  <sheetFormatPr defaultRowHeight="12.75" x14ac:dyDescent="0.2"/>
  <cols>
    <col min="1" max="1" width="137.140625" customWidth="1"/>
    <col min="2" max="2" width="7.5703125" customWidth="1"/>
    <col min="3" max="27" width="12.42578125" customWidth="1"/>
  </cols>
  <sheetData>
    <row r="1" spans="1:27" ht="18" x14ac:dyDescent="0.25">
      <c r="A1" s="470" t="s">
        <v>901</v>
      </c>
      <c r="C1" s="472" t="s">
        <v>903</v>
      </c>
    </row>
    <row r="2" spans="1:27" x14ac:dyDescent="0.2">
      <c r="A2" s="471" t="s">
        <v>203</v>
      </c>
      <c r="B2" s="471" t="s">
        <v>902</v>
      </c>
      <c r="C2" s="473">
        <v>42</v>
      </c>
      <c r="D2" s="473">
        <v>43</v>
      </c>
      <c r="E2" s="473">
        <v>44</v>
      </c>
      <c r="F2" s="473">
        <v>45</v>
      </c>
      <c r="G2" s="473">
        <v>46</v>
      </c>
      <c r="H2" s="473">
        <v>47</v>
      </c>
      <c r="I2" s="473">
        <v>48</v>
      </c>
      <c r="J2" s="473">
        <v>49</v>
      </c>
      <c r="K2" s="473">
        <v>50</v>
      </c>
      <c r="L2" s="473">
        <v>51</v>
      </c>
      <c r="M2" s="473">
        <v>52</v>
      </c>
      <c r="N2" s="473">
        <v>53</v>
      </c>
      <c r="O2" s="473">
        <v>54</v>
      </c>
      <c r="P2" s="473">
        <v>55</v>
      </c>
      <c r="Q2" s="473">
        <v>56</v>
      </c>
      <c r="R2" s="473">
        <v>57</v>
      </c>
      <c r="S2" s="473">
        <v>58</v>
      </c>
      <c r="T2" s="473">
        <v>59</v>
      </c>
      <c r="U2" s="473">
        <v>60</v>
      </c>
      <c r="V2" s="473">
        <v>61</v>
      </c>
      <c r="W2" s="473">
        <v>62</v>
      </c>
      <c r="X2" s="473">
        <v>63</v>
      </c>
      <c r="Y2" s="473">
        <v>64</v>
      </c>
      <c r="Z2" s="473">
        <v>65</v>
      </c>
      <c r="AA2" s="473">
        <v>66</v>
      </c>
    </row>
    <row r="3" spans="1:27" x14ac:dyDescent="0.2">
      <c r="A3" s="472" t="s">
        <v>904</v>
      </c>
      <c r="C3" s="472" t="s">
        <v>8</v>
      </c>
      <c r="D3" s="472" t="s">
        <v>937</v>
      </c>
      <c r="E3" s="472" t="s">
        <v>10</v>
      </c>
      <c r="F3" s="472" t="s">
        <v>240</v>
      </c>
      <c r="G3" s="472" t="s">
        <v>275</v>
      </c>
      <c r="H3" s="472" t="s">
        <v>13</v>
      </c>
      <c r="I3" s="472" t="s">
        <v>938</v>
      </c>
      <c r="J3" s="472" t="s">
        <v>15</v>
      </c>
      <c r="K3" s="472" t="s">
        <v>939</v>
      </c>
      <c r="L3" s="472" t="s">
        <v>17</v>
      </c>
      <c r="M3" s="472" t="s">
        <v>18</v>
      </c>
      <c r="N3" s="472" t="s">
        <v>936</v>
      </c>
      <c r="O3" s="472" t="s">
        <v>20</v>
      </c>
      <c r="P3" s="472" t="s">
        <v>940</v>
      </c>
      <c r="Q3" s="472" t="s">
        <v>210</v>
      </c>
      <c r="R3" s="472" t="s">
        <v>211</v>
      </c>
      <c r="S3" s="472" t="s">
        <v>941</v>
      </c>
      <c r="T3" s="472" t="s">
        <v>212</v>
      </c>
      <c r="U3" s="472" t="s">
        <v>942</v>
      </c>
      <c r="V3" s="472" t="s">
        <v>725</v>
      </c>
      <c r="W3" s="472" t="s">
        <v>943</v>
      </c>
      <c r="X3" s="472" t="s">
        <v>734</v>
      </c>
      <c r="Y3" s="472" t="s">
        <v>737</v>
      </c>
      <c r="Z3" s="472" t="s">
        <v>944</v>
      </c>
      <c r="AA3" s="472" t="s">
        <v>740</v>
      </c>
    </row>
    <row r="4" spans="1:27" x14ac:dyDescent="0.2">
      <c r="A4" t="s">
        <v>1</v>
      </c>
      <c r="C4">
        <v>42</v>
      </c>
      <c r="D4">
        <v>43</v>
      </c>
      <c r="E4">
        <v>44</v>
      </c>
      <c r="F4">
        <v>45</v>
      </c>
      <c r="G4">
        <v>46</v>
      </c>
      <c r="H4">
        <v>47</v>
      </c>
      <c r="I4">
        <v>48</v>
      </c>
      <c r="J4">
        <v>49</v>
      </c>
      <c r="K4">
        <v>50</v>
      </c>
      <c r="L4">
        <v>51</v>
      </c>
      <c r="M4">
        <v>52</v>
      </c>
      <c r="N4">
        <v>53</v>
      </c>
      <c r="O4">
        <v>54</v>
      </c>
      <c r="P4">
        <v>55</v>
      </c>
      <c r="Q4">
        <v>56</v>
      </c>
      <c r="R4">
        <v>57</v>
      </c>
      <c r="S4">
        <v>58</v>
      </c>
      <c r="T4">
        <v>59</v>
      </c>
      <c r="U4">
        <v>60</v>
      </c>
      <c r="V4">
        <v>61</v>
      </c>
      <c r="W4">
        <v>62</v>
      </c>
      <c r="X4">
        <v>63</v>
      </c>
      <c r="Y4">
        <v>64</v>
      </c>
      <c r="Z4">
        <v>65</v>
      </c>
      <c r="AA4">
        <v>66</v>
      </c>
    </row>
    <row r="5" spans="1:27" x14ac:dyDescent="0.2">
      <c r="A5" s="474"/>
      <c r="B5" s="474"/>
      <c r="C5" s="474"/>
      <c r="D5" s="474"/>
      <c r="E5" s="474"/>
      <c r="F5" s="474"/>
      <c r="G5" s="474"/>
      <c r="H5" s="474"/>
      <c r="I5" s="474"/>
      <c r="J5" s="474"/>
      <c r="K5" s="474"/>
      <c r="L5" s="474"/>
      <c r="M5" s="474"/>
      <c r="N5" s="474"/>
      <c r="O5" s="474"/>
      <c r="P5" s="474"/>
      <c r="Q5" s="474"/>
      <c r="R5" s="474"/>
      <c r="S5" s="474"/>
      <c r="T5" s="474"/>
      <c r="U5" s="474"/>
      <c r="V5" s="474"/>
      <c r="W5" s="474"/>
      <c r="X5" s="474"/>
      <c r="Y5" s="474"/>
      <c r="Z5" s="474"/>
      <c r="AA5" s="474"/>
    </row>
    <row r="6" spans="1:27" x14ac:dyDescent="0.2">
      <c r="A6" s="475" t="s">
        <v>905</v>
      </c>
      <c r="B6" s="474"/>
      <c r="C6" s="474"/>
      <c r="D6" s="474"/>
      <c r="E6" s="474"/>
      <c r="F6" s="474"/>
      <c r="G6" s="474"/>
      <c r="H6" s="474"/>
      <c r="I6" s="474"/>
      <c r="J6" s="474"/>
      <c r="K6" s="474"/>
      <c r="L6" s="474"/>
      <c r="M6" s="474"/>
      <c r="N6" s="474"/>
      <c r="O6" s="474"/>
      <c r="P6" s="474"/>
      <c r="Q6" s="474"/>
      <c r="R6" s="474"/>
      <c r="S6" s="474"/>
      <c r="T6" s="474"/>
      <c r="U6" s="474"/>
      <c r="V6" s="474"/>
      <c r="W6" s="474"/>
      <c r="X6" s="474"/>
      <c r="Y6" s="474"/>
      <c r="Z6" s="474"/>
      <c r="AA6" s="474"/>
    </row>
    <row r="7" spans="1:27" x14ac:dyDescent="0.2">
      <c r="A7" t="s">
        <v>215</v>
      </c>
      <c r="B7" t="s">
        <v>906</v>
      </c>
      <c r="C7" s="482">
        <f t="shared" ref="C7:AA7" si="0">C20+C14+C15</f>
        <v>24.7471289839009</v>
      </c>
      <c r="D7" s="482">
        <f t="shared" si="0"/>
        <v>23.452088860545668</v>
      </c>
      <c r="E7" s="482">
        <f t="shared" si="0"/>
        <v>22.229733754218532</v>
      </c>
      <c r="F7" s="482">
        <f t="shared" si="0"/>
        <v>21.075984168381048</v>
      </c>
      <c r="G7" s="482">
        <f t="shared" si="0"/>
        <v>19.916389571041911</v>
      </c>
      <c r="H7" s="482">
        <f t="shared" si="0"/>
        <v>18.888515543964349</v>
      </c>
      <c r="I7" s="482">
        <f t="shared" si="0"/>
        <v>17.918331653133148</v>
      </c>
      <c r="J7" s="482">
        <f t="shared" si="0"/>
        <v>17.002600000000001</v>
      </c>
      <c r="K7" s="482">
        <f t="shared" si="0"/>
        <v>16.068064415298082</v>
      </c>
      <c r="L7" s="482">
        <f t="shared" si="0"/>
        <v>15.252240259361226</v>
      </c>
      <c r="M7" s="482">
        <f t="shared" si="0"/>
        <v>14.482204794907203</v>
      </c>
      <c r="N7" s="482">
        <f t="shared" si="0"/>
        <v>13.755388100155137</v>
      </c>
      <c r="O7" s="482">
        <f t="shared" si="0"/>
        <v>13.069364491950449</v>
      </c>
      <c r="P7" s="482">
        <f t="shared" si="0"/>
        <v>12.350244430272832</v>
      </c>
      <c r="Q7" s="482">
        <f t="shared" si="0"/>
        <v>11.739066877109265</v>
      </c>
      <c r="R7" s="482">
        <f t="shared" si="0"/>
        <v>11.162192084190524</v>
      </c>
      <c r="S7" s="482">
        <f t="shared" si="0"/>
        <v>10.617694785520952</v>
      </c>
      <c r="T7" s="482">
        <f t="shared" si="0"/>
        <v>10.103757771982172</v>
      </c>
      <c r="U7" s="482">
        <f t="shared" si="0"/>
        <v>9.548065826566571</v>
      </c>
      <c r="V7" s="482">
        <f t="shared" si="0"/>
        <v>9.0901999999999994</v>
      </c>
      <c r="W7" s="482">
        <f t="shared" si="0"/>
        <v>8.6580322076490397</v>
      </c>
      <c r="X7" s="482">
        <f t="shared" si="0"/>
        <v>8.2501201296806101</v>
      </c>
      <c r="Y7" s="482">
        <f t="shared" si="0"/>
        <v>7.865102397453601</v>
      </c>
      <c r="Z7" s="482">
        <f t="shared" si="0"/>
        <v>7.5016940500775675</v>
      </c>
      <c r="AA7" s="482">
        <f t="shared" si="0"/>
        <v>7.1586822459752222</v>
      </c>
    </row>
    <row r="8" spans="1:27" x14ac:dyDescent="0.2">
      <c r="A8" t="s">
        <v>216</v>
      </c>
      <c r="B8" t="s">
        <v>906</v>
      </c>
      <c r="C8" s="482">
        <f t="shared" ref="C8:AA8" si="1">C12+0.25</f>
        <v>1.498</v>
      </c>
      <c r="D8" s="482">
        <f t="shared" si="1"/>
        <v>1.498</v>
      </c>
      <c r="E8" s="482">
        <f t="shared" si="1"/>
        <v>1.498</v>
      </c>
      <c r="F8" s="482">
        <f t="shared" si="1"/>
        <v>1.498</v>
      </c>
      <c r="G8" s="482">
        <f t="shared" si="1"/>
        <v>1.391</v>
      </c>
      <c r="H8" s="482">
        <f t="shared" si="1"/>
        <v>1.391</v>
      </c>
      <c r="I8" s="482">
        <f t="shared" si="1"/>
        <v>1.391</v>
      </c>
      <c r="J8" s="482">
        <f t="shared" si="1"/>
        <v>1.391</v>
      </c>
      <c r="K8" s="482">
        <f t="shared" si="1"/>
        <v>1.2349999999999999</v>
      </c>
      <c r="L8" s="482">
        <f t="shared" si="1"/>
        <v>1.2349999999999999</v>
      </c>
      <c r="M8" s="482">
        <f t="shared" si="1"/>
        <v>1.2349999999999999</v>
      </c>
      <c r="N8" s="482">
        <f t="shared" si="1"/>
        <v>1.2349999999999999</v>
      </c>
      <c r="O8" s="482">
        <f t="shared" si="1"/>
        <v>1.2349999999999999</v>
      </c>
      <c r="P8" s="482">
        <f t="shared" si="1"/>
        <v>1.1160000000000001</v>
      </c>
      <c r="Q8" s="482">
        <f t="shared" si="1"/>
        <v>1.1160000000000001</v>
      </c>
      <c r="R8" s="482">
        <f t="shared" si="1"/>
        <v>1.1160000000000001</v>
      </c>
      <c r="S8" s="482">
        <f t="shared" si="1"/>
        <v>1.1160000000000001</v>
      </c>
      <c r="T8" s="482">
        <f t="shared" si="1"/>
        <v>1.1160000000000001</v>
      </c>
      <c r="U8" s="482">
        <f t="shared" si="1"/>
        <v>0.997</v>
      </c>
      <c r="V8" s="482">
        <f t="shared" si="1"/>
        <v>0.997</v>
      </c>
      <c r="W8" s="482">
        <f t="shared" si="1"/>
        <v>0.997</v>
      </c>
      <c r="X8" s="482">
        <f t="shared" si="1"/>
        <v>0.997</v>
      </c>
      <c r="Y8" s="482">
        <f t="shared" si="1"/>
        <v>0.997</v>
      </c>
      <c r="Z8" s="482">
        <f t="shared" si="1"/>
        <v>0.997</v>
      </c>
      <c r="AA8" s="482">
        <f t="shared" si="1"/>
        <v>0.997</v>
      </c>
    </row>
    <row r="9" spans="1:27" x14ac:dyDescent="0.2">
      <c r="A9" t="s">
        <v>217</v>
      </c>
      <c r="B9" t="s">
        <v>906</v>
      </c>
      <c r="C9" s="482">
        <f t="shared" ref="C9:AA9" si="2">C12+0.25</f>
        <v>1.498</v>
      </c>
      <c r="D9" s="482">
        <f t="shared" si="2"/>
        <v>1.498</v>
      </c>
      <c r="E9" s="482">
        <f t="shared" si="2"/>
        <v>1.498</v>
      </c>
      <c r="F9" s="482">
        <f t="shared" si="2"/>
        <v>1.498</v>
      </c>
      <c r="G9" s="482">
        <f t="shared" si="2"/>
        <v>1.391</v>
      </c>
      <c r="H9" s="482">
        <f t="shared" si="2"/>
        <v>1.391</v>
      </c>
      <c r="I9" s="482">
        <f t="shared" si="2"/>
        <v>1.391</v>
      </c>
      <c r="J9" s="482">
        <f t="shared" si="2"/>
        <v>1.391</v>
      </c>
      <c r="K9" s="482">
        <f t="shared" si="2"/>
        <v>1.2349999999999999</v>
      </c>
      <c r="L9" s="482">
        <f t="shared" si="2"/>
        <v>1.2349999999999999</v>
      </c>
      <c r="M9" s="482">
        <f t="shared" si="2"/>
        <v>1.2349999999999999</v>
      </c>
      <c r="N9" s="482">
        <f t="shared" si="2"/>
        <v>1.2349999999999999</v>
      </c>
      <c r="O9" s="482">
        <f t="shared" si="2"/>
        <v>1.2349999999999999</v>
      </c>
      <c r="P9" s="482">
        <f t="shared" si="2"/>
        <v>1.1160000000000001</v>
      </c>
      <c r="Q9" s="482">
        <f t="shared" si="2"/>
        <v>1.1160000000000001</v>
      </c>
      <c r="R9" s="482">
        <f t="shared" si="2"/>
        <v>1.1160000000000001</v>
      </c>
      <c r="S9" s="482">
        <f t="shared" si="2"/>
        <v>1.1160000000000001</v>
      </c>
      <c r="T9" s="482">
        <f t="shared" si="2"/>
        <v>1.1160000000000001</v>
      </c>
      <c r="U9" s="482">
        <f t="shared" si="2"/>
        <v>0.997</v>
      </c>
      <c r="V9" s="482">
        <f t="shared" si="2"/>
        <v>0.997</v>
      </c>
      <c r="W9" s="482">
        <f t="shared" si="2"/>
        <v>0.997</v>
      </c>
      <c r="X9" s="482">
        <f t="shared" si="2"/>
        <v>0.997</v>
      </c>
      <c r="Y9" s="482">
        <f t="shared" si="2"/>
        <v>0.997</v>
      </c>
      <c r="Z9" s="482">
        <f t="shared" si="2"/>
        <v>0.997</v>
      </c>
      <c r="AA9" s="482">
        <f t="shared" si="2"/>
        <v>0.997</v>
      </c>
    </row>
    <row r="10" spans="1:27" x14ac:dyDescent="0.2">
      <c r="A10" s="476" t="s">
        <v>80</v>
      </c>
      <c r="B10" t="s">
        <v>906</v>
      </c>
      <c r="C10" s="483">
        <v>0.748</v>
      </c>
      <c r="D10" s="483">
        <v>0.748</v>
      </c>
      <c r="E10" s="483">
        <v>0.748</v>
      </c>
      <c r="F10" s="483">
        <v>0.748</v>
      </c>
      <c r="G10" s="483">
        <v>0.66900000000000004</v>
      </c>
      <c r="H10" s="483">
        <v>0.66900000000000004</v>
      </c>
      <c r="I10" s="483">
        <v>0.66900000000000004</v>
      </c>
      <c r="J10" s="483">
        <v>0.66900000000000004</v>
      </c>
      <c r="K10" s="483">
        <v>0.59099999999999997</v>
      </c>
      <c r="L10" s="483">
        <v>0.59099999999999997</v>
      </c>
      <c r="M10" s="483">
        <v>0.59099999999999997</v>
      </c>
      <c r="N10" s="483">
        <v>0.59099999999999997</v>
      </c>
      <c r="O10" s="483">
        <v>0.59099999999999997</v>
      </c>
      <c r="P10" s="483">
        <v>0.51200000000000001</v>
      </c>
      <c r="Q10" s="483">
        <v>0.51200000000000001</v>
      </c>
      <c r="R10" s="483">
        <v>0.51200000000000001</v>
      </c>
      <c r="S10" s="483">
        <v>0.51200000000000001</v>
      </c>
      <c r="T10" s="483">
        <v>0.51200000000000001</v>
      </c>
      <c r="U10" s="483">
        <v>0.433</v>
      </c>
      <c r="V10" s="483">
        <v>0.433</v>
      </c>
      <c r="W10" s="483">
        <v>0.433</v>
      </c>
      <c r="X10" s="483">
        <v>0.433</v>
      </c>
      <c r="Y10" s="483">
        <v>0.433</v>
      </c>
      <c r="Z10" s="483">
        <v>0.433</v>
      </c>
      <c r="AA10" s="483">
        <v>0.433</v>
      </c>
    </row>
    <row r="11" spans="1:27" x14ac:dyDescent="0.2">
      <c r="A11" s="476" t="s">
        <v>226</v>
      </c>
      <c r="B11" t="s">
        <v>906</v>
      </c>
      <c r="C11" s="483">
        <v>0.25</v>
      </c>
      <c r="D11" s="483">
        <v>0.25</v>
      </c>
      <c r="E11" s="483">
        <v>0.25</v>
      </c>
      <c r="F11" s="483">
        <v>0.25</v>
      </c>
      <c r="G11" s="483">
        <v>0.23599999999999999</v>
      </c>
      <c r="H11" s="483">
        <v>0.23599999999999999</v>
      </c>
      <c r="I11" s="483">
        <v>0.23599999999999999</v>
      </c>
      <c r="J11" s="483">
        <v>0.23599999999999999</v>
      </c>
      <c r="K11" s="483">
        <v>0.19700000000000001</v>
      </c>
      <c r="L11" s="483">
        <v>0.19700000000000001</v>
      </c>
      <c r="M11" s="483">
        <v>0.19700000000000001</v>
      </c>
      <c r="N11" s="483">
        <v>0.19700000000000001</v>
      </c>
      <c r="O11" s="483">
        <v>0.19700000000000001</v>
      </c>
      <c r="P11" s="483">
        <v>0.17699999999999999</v>
      </c>
      <c r="Q11" s="483">
        <v>0.17699999999999999</v>
      </c>
      <c r="R11" s="483">
        <v>0.17699999999999999</v>
      </c>
      <c r="S11" s="483">
        <v>0.17699999999999999</v>
      </c>
      <c r="T11" s="483">
        <v>0.17699999999999999</v>
      </c>
      <c r="U11" s="483">
        <v>0.157</v>
      </c>
      <c r="V11" s="483">
        <v>0.157</v>
      </c>
      <c r="W11" s="483">
        <v>0.157</v>
      </c>
      <c r="X11" s="483">
        <v>0.157</v>
      </c>
      <c r="Y11" s="483">
        <v>0.157</v>
      </c>
      <c r="Z11" s="483">
        <v>0.157</v>
      </c>
      <c r="AA11" s="483">
        <v>0.157</v>
      </c>
    </row>
    <row r="12" spans="1:27" x14ac:dyDescent="0.2">
      <c r="A12" t="s">
        <v>907</v>
      </c>
      <c r="B12" t="s">
        <v>906</v>
      </c>
      <c r="C12" s="482">
        <f t="shared" ref="C12:AA12" si="3">C10+2*C11</f>
        <v>1.248</v>
      </c>
      <c r="D12" s="482">
        <f t="shared" si="3"/>
        <v>1.248</v>
      </c>
      <c r="E12" s="482">
        <f t="shared" si="3"/>
        <v>1.248</v>
      </c>
      <c r="F12" s="482">
        <f t="shared" si="3"/>
        <v>1.248</v>
      </c>
      <c r="G12" s="482">
        <f t="shared" si="3"/>
        <v>1.141</v>
      </c>
      <c r="H12" s="482">
        <f t="shared" si="3"/>
        <v>1.141</v>
      </c>
      <c r="I12" s="482">
        <f t="shared" si="3"/>
        <v>1.141</v>
      </c>
      <c r="J12" s="482">
        <f t="shared" si="3"/>
        <v>1.141</v>
      </c>
      <c r="K12" s="482">
        <f t="shared" si="3"/>
        <v>0.98499999999999999</v>
      </c>
      <c r="L12" s="482">
        <f t="shared" si="3"/>
        <v>0.98499999999999999</v>
      </c>
      <c r="M12" s="482">
        <f t="shared" si="3"/>
        <v>0.98499999999999999</v>
      </c>
      <c r="N12" s="482">
        <f t="shared" si="3"/>
        <v>0.98499999999999999</v>
      </c>
      <c r="O12" s="482">
        <f t="shared" si="3"/>
        <v>0.98499999999999999</v>
      </c>
      <c r="P12" s="482">
        <f t="shared" si="3"/>
        <v>0.86599999999999999</v>
      </c>
      <c r="Q12" s="482">
        <f t="shared" si="3"/>
        <v>0.86599999999999999</v>
      </c>
      <c r="R12" s="482">
        <f t="shared" si="3"/>
        <v>0.86599999999999999</v>
      </c>
      <c r="S12" s="482">
        <f t="shared" si="3"/>
        <v>0.86599999999999999</v>
      </c>
      <c r="T12" s="482">
        <f t="shared" si="3"/>
        <v>0.86599999999999999</v>
      </c>
      <c r="U12" s="482">
        <f t="shared" si="3"/>
        <v>0.747</v>
      </c>
      <c r="V12" s="482">
        <f t="shared" si="3"/>
        <v>0.747</v>
      </c>
      <c r="W12" s="482">
        <f t="shared" si="3"/>
        <v>0.747</v>
      </c>
      <c r="X12" s="482">
        <f t="shared" si="3"/>
        <v>0.747</v>
      </c>
      <c r="Y12" s="482">
        <f t="shared" si="3"/>
        <v>0.747</v>
      </c>
      <c r="Z12" s="482">
        <f t="shared" si="3"/>
        <v>0.747</v>
      </c>
      <c r="AA12" s="482">
        <f t="shared" si="3"/>
        <v>0.747</v>
      </c>
    </row>
    <row r="13" spans="1:27" x14ac:dyDescent="0.2">
      <c r="A13" s="476" t="s">
        <v>908</v>
      </c>
      <c r="B13" t="s">
        <v>906</v>
      </c>
      <c r="C13" s="483">
        <v>0.47199999999999998</v>
      </c>
      <c r="D13" s="483">
        <v>0.47199999999999998</v>
      </c>
      <c r="E13" s="483">
        <v>0.47199999999999998</v>
      </c>
      <c r="F13" s="483">
        <v>0.47199999999999998</v>
      </c>
      <c r="G13" s="483">
        <v>0.433</v>
      </c>
      <c r="H13" s="483">
        <v>0.433</v>
      </c>
      <c r="I13" s="483">
        <v>0.433</v>
      </c>
      <c r="J13" s="483">
        <v>0.433</v>
      </c>
      <c r="K13" s="483">
        <v>0.39400000000000002</v>
      </c>
      <c r="L13" s="483">
        <v>0.39400000000000002</v>
      </c>
      <c r="M13" s="483">
        <v>0.39400000000000002</v>
      </c>
      <c r="N13" s="483">
        <v>0.39400000000000002</v>
      </c>
      <c r="O13" s="483">
        <v>0.39400000000000002</v>
      </c>
      <c r="P13" s="483">
        <v>0.35399999999999998</v>
      </c>
      <c r="Q13" s="483">
        <v>0.35399999999999998</v>
      </c>
      <c r="R13" s="483">
        <v>0.35399999999999998</v>
      </c>
      <c r="S13" s="483">
        <v>0.35399999999999998</v>
      </c>
      <c r="T13" s="483">
        <v>0.35399999999999998</v>
      </c>
      <c r="U13" s="483">
        <v>0.315</v>
      </c>
      <c r="V13" s="483">
        <v>0.315</v>
      </c>
      <c r="W13" s="483">
        <v>0.315</v>
      </c>
      <c r="X13" s="483">
        <v>0.315</v>
      </c>
      <c r="Y13" s="483">
        <v>0.315</v>
      </c>
      <c r="Z13" s="483">
        <v>0.315</v>
      </c>
      <c r="AA13" s="483">
        <v>0.315</v>
      </c>
    </row>
    <row r="14" spans="1:27" x14ac:dyDescent="0.2">
      <c r="A14" s="476" t="s">
        <v>909</v>
      </c>
      <c r="B14" t="s">
        <v>906</v>
      </c>
      <c r="C14" s="483">
        <v>1.1220000000000001</v>
      </c>
      <c r="D14" s="483">
        <v>1.1220000000000001</v>
      </c>
      <c r="E14" s="483">
        <v>1.1220000000000001</v>
      </c>
      <c r="F14" s="483">
        <v>1.1220000000000001</v>
      </c>
      <c r="G14" s="483">
        <v>1.004</v>
      </c>
      <c r="H14" s="483">
        <v>1.004</v>
      </c>
      <c r="I14" s="483">
        <v>1.004</v>
      </c>
      <c r="J14" s="483">
        <v>1.004</v>
      </c>
      <c r="K14" s="483">
        <v>0.88700000000000001</v>
      </c>
      <c r="L14" s="483">
        <v>0.88700000000000001</v>
      </c>
      <c r="M14" s="483">
        <v>0.88700000000000001</v>
      </c>
      <c r="N14" s="483">
        <v>0.88700000000000001</v>
      </c>
      <c r="O14" s="483">
        <v>0.88700000000000001</v>
      </c>
      <c r="P14" s="483">
        <v>0.76800000000000002</v>
      </c>
      <c r="Q14" s="483">
        <v>0.76800000000000002</v>
      </c>
      <c r="R14" s="483">
        <v>0.76800000000000002</v>
      </c>
      <c r="S14" s="483">
        <v>0.76800000000000002</v>
      </c>
      <c r="T14" s="483">
        <v>0.76800000000000002</v>
      </c>
      <c r="U14" s="483">
        <v>0.65</v>
      </c>
      <c r="V14" s="483">
        <v>0.65</v>
      </c>
      <c r="W14" s="483">
        <v>0.65</v>
      </c>
      <c r="X14" s="483">
        <v>0.65</v>
      </c>
      <c r="Y14" s="483">
        <v>0.65</v>
      </c>
      <c r="Z14" s="483">
        <v>0.65</v>
      </c>
      <c r="AA14" s="483">
        <v>0.65</v>
      </c>
    </row>
    <row r="15" spans="1:27" x14ac:dyDescent="0.2">
      <c r="A15" s="476" t="s">
        <v>223</v>
      </c>
      <c r="B15" t="s">
        <v>906</v>
      </c>
      <c r="C15" s="483">
        <v>1</v>
      </c>
      <c r="D15" s="483">
        <v>1</v>
      </c>
      <c r="E15" s="483">
        <v>1</v>
      </c>
      <c r="F15" s="483">
        <v>1</v>
      </c>
      <c r="G15" s="483">
        <v>1</v>
      </c>
      <c r="H15" s="483">
        <v>1</v>
      </c>
      <c r="I15" s="483">
        <v>1</v>
      </c>
      <c r="J15" s="483">
        <v>1</v>
      </c>
      <c r="K15" s="483">
        <v>1</v>
      </c>
      <c r="L15" s="483">
        <v>1</v>
      </c>
      <c r="M15" s="483">
        <v>1</v>
      </c>
      <c r="N15" s="483">
        <v>1</v>
      </c>
      <c r="O15" s="483">
        <v>1</v>
      </c>
      <c r="P15" s="483">
        <v>1</v>
      </c>
      <c r="Q15" s="483">
        <v>1</v>
      </c>
      <c r="R15" s="483">
        <v>1</v>
      </c>
      <c r="S15" s="483">
        <v>1</v>
      </c>
      <c r="T15" s="483">
        <v>1</v>
      </c>
      <c r="U15" s="483">
        <v>1</v>
      </c>
      <c r="V15" s="483">
        <v>1</v>
      </c>
      <c r="W15" s="483">
        <v>1</v>
      </c>
      <c r="X15" s="483">
        <v>1</v>
      </c>
      <c r="Y15" s="483">
        <v>1</v>
      </c>
      <c r="Z15" s="483">
        <v>1</v>
      </c>
      <c r="AA15" s="483">
        <v>1</v>
      </c>
    </row>
    <row r="16" spans="1:27" x14ac:dyDescent="0.2">
      <c r="A16" s="474"/>
      <c r="B16" s="474"/>
      <c r="C16" s="474"/>
      <c r="D16" s="474"/>
      <c r="E16" s="474"/>
      <c r="F16" s="474"/>
      <c r="G16" s="474"/>
      <c r="H16" s="474"/>
      <c r="I16" s="474"/>
      <c r="J16" s="474"/>
      <c r="K16" s="474"/>
      <c r="L16" s="474"/>
      <c r="M16" s="474"/>
      <c r="N16" s="474"/>
      <c r="O16" s="474"/>
      <c r="P16" s="474"/>
      <c r="Q16" s="474"/>
      <c r="R16" s="474"/>
      <c r="S16" s="474"/>
      <c r="T16" s="474"/>
      <c r="U16" s="474"/>
      <c r="V16" s="474"/>
      <c r="W16" s="474"/>
      <c r="X16" s="474"/>
      <c r="Y16" s="474"/>
      <c r="Z16" s="474"/>
      <c r="AA16" s="474"/>
    </row>
    <row r="17" spans="1:27" x14ac:dyDescent="0.2">
      <c r="A17" s="478" t="s">
        <v>910</v>
      </c>
      <c r="B17" s="474"/>
      <c r="C17" s="474"/>
      <c r="D17" s="474"/>
      <c r="E17" s="474"/>
      <c r="F17" s="474"/>
      <c r="G17" s="474"/>
      <c r="H17" s="474"/>
      <c r="I17" s="474"/>
      <c r="J17" s="474"/>
      <c r="K17" s="474"/>
      <c r="L17" s="474"/>
      <c r="M17" s="474"/>
      <c r="N17" s="474"/>
      <c r="O17" s="474"/>
      <c r="P17" s="474"/>
      <c r="Q17" s="474"/>
      <c r="R17" s="474"/>
      <c r="S17" s="474"/>
      <c r="T17" s="474"/>
      <c r="U17" s="474"/>
      <c r="V17" s="474"/>
      <c r="W17" s="474"/>
      <c r="X17" s="474"/>
      <c r="Y17" s="474"/>
      <c r="Z17" s="474"/>
      <c r="AA17" s="474"/>
    </row>
    <row r="18" spans="1:27" x14ac:dyDescent="0.2">
      <c r="A18" s="476" t="s">
        <v>234</v>
      </c>
      <c r="B18" t="s">
        <v>906</v>
      </c>
      <c r="C18" s="482">
        <f t="shared" ref="C18:AA18" si="4">13552/(2*C25)</f>
        <v>23.073928983900899</v>
      </c>
      <c r="D18" s="482">
        <f t="shared" si="4"/>
        <v>21.778888860545667</v>
      </c>
      <c r="E18" s="482">
        <f t="shared" si="4"/>
        <v>20.556533754218531</v>
      </c>
      <c r="F18" s="482">
        <f t="shared" si="4"/>
        <v>19.402784168381046</v>
      </c>
      <c r="G18" s="482">
        <f t="shared" si="4"/>
        <v>18.313789571041909</v>
      </c>
      <c r="H18" s="482">
        <f t="shared" si="4"/>
        <v>17.285915543964347</v>
      </c>
      <c r="I18" s="482">
        <f t="shared" si="4"/>
        <v>16.315731653133149</v>
      </c>
      <c r="J18" s="482">
        <f t="shared" si="4"/>
        <v>15.4</v>
      </c>
      <c r="K18" s="482">
        <f t="shared" si="4"/>
        <v>14.535664415298079</v>
      </c>
      <c r="L18" s="482">
        <f t="shared" si="4"/>
        <v>13.719840259361225</v>
      </c>
      <c r="M18" s="482">
        <f t="shared" si="4"/>
        <v>12.949804794907202</v>
      </c>
      <c r="N18" s="482">
        <f t="shared" si="4"/>
        <v>12.222988100155137</v>
      </c>
      <c r="O18" s="482">
        <f t="shared" si="4"/>
        <v>11.536964491950448</v>
      </c>
      <c r="P18" s="482">
        <f t="shared" si="4"/>
        <v>10.889444430272832</v>
      </c>
      <c r="Q18" s="482">
        <f t="shared" si="4"/>
        <v>10.278266877109264</v>
      </c>
      <c r="R18" s="482">
        <f t="shared" si="4"/>
        <v>9.7013920841905232</v>
      </c>
      <c r="S18" s="482">
        <f t="shared" si="4"/>
        <v>9.1568947855209508</v>
      </c>
      <c r="T18" s="482">
        <f t="shared" si="4"/>
        <v>8.6429577719821715</v>
      </c>
      <c r="U18" s="482">
        <f t="shared" si="4"/>
        <v>8.1578658265665709</v>
      </c>
      <c r="V18" s="482">
        <f t="shared" si="4"/>
        <v>7.7</v>
      </c>
      <c r="W18" s="482">
        <f t="shared" si="4"/>
        <v>7.2678322076490396</v>
      </c>
      <c r="X18" s="482">
        <f t="shared" si="4"/>
        <v>6.8599201296806109</v>
      </c>
      <c r="Y18" s="482">
        <f t="shared" si="4"/>
        <v>6.4749023974536009</v>
      </c>
      <c r="Z18" s="482">
        <f t="shared" si="4"/>
        <v>6.1114940500775674</v>
      </c>
      <c r="AA18" s="482">
        <f t="shared" si="4"/>
        <v>5.7684822459752221</v>
      </c>
    </row>
    <row r="19" spans="1:27" x14ac:dyDescent="0.2">
      <c r="A19" s="476" t="s">
        <v>911</v>
      </c>
      <c r="B19" t="s">
        <v>906</v>
      </c>
      <c r="C19" s="482">
        <f t="shared" ref="C19:AA19" si="5">0.6*C10</f>
        <v>0.44879999999999998</v>
      </c>
      <c r="D19" s="482">
        <f t="shared" si="5"/>
        <v>0.44879999999999998</v>
      </c>
      <c r="E19" s="482">
        <f t="shared" si="5"/>
        <v>0.44879999999999998</v>
      </c>
      <c r="F19" s="482">
        <f t="shared" si="5"/>
        <v>0.44879999999999998</v>
      </c>
      <c r="G19" s="482">
        <f t="shared" si="5"/>
        <v>0.40140000000000003</v>
      </c>
      <c r="H19" s="482">
        <f t="shared" si="5"/>
        <v>0.40140000000000003</v>
      </c>
      <c r="I19" s="482">
        <f t="shared" si="5"/>
        <v>0.40140000000000003</v>
      </c>
      <c r="J19" s="482">
        <f t="shared" si="5"/>
        <v>0.40140000000000003</v>
      </c>
      <c r="K19" s="482">
        <f t="shared" si="5"/>
        <v>0.35459999999999997</v>
      </c>
      <c r="L19" s="482">
        <f t="shared" si="5"/>
        <v>0.35459999999999997</v>
      </c>
      <c r="M19" s="482">
        <f t="shared" si="5"/>
        <v>0.35459999999999997</v>
      </c>
      <c r="N19" s="482">
        <f t="shared" si="5"/>
        <v>0.35459999999999997</v>
      </c>
      <c r="O19" s="482">
        <f t="shared" si="5"/>
        <v>0.35459999999999997</v>
      </c>
      <c r="P19" s="482">
        <f t="shared" si="5"/>
        <v>0.30719999999999997</v>
      </c>
      <c r="Q19" s="482">
        <f t="shared" si="5"/>
        <v>0.30719999999999997</v>
      </c>
      <c r="R19" s="482">
        <f t="shared" si="5"/>
        <v>0.30719999999999997</v>
      </c>
      <c r="S19" s="482">
        <f t="shared" si="5"/>
        <v>0.30719999999999997</v>
      </c>
      <c r="T19" s="482">
        <f t="shared" si="5"/>
        <v>0.30719999999999997</v>
      </c>
      <c r="U19" s="482">
        <f t="shared" si="5"/>
        <v>0.25979999999999998</v>
      </c>
      <c r="V19" s="482">
        <f t="shared" si="5"/>
        <v>0.25979999999999998</v>
      </c>
      <c r="W19" s="482">
        <f t="shared" si="5"/>
        <v>0.25979999999999998</v>
      </c>
      <c r="X19" s="482">
        <f t="shared" si="5"/>
        <v>0.25979999999999998</v>
      </c>
      <c r="Y19" s="482">
        <f t="shared" si="5"/>
        <v>0.25979999999999998</v>
      </c>
      <c r="Z19" s="482">
        <f t="shared" si="5"/>
        <v>0.25979999999999998</v>
      </c>
      <c r="AA19" s="482">
        <f t="shared" si="5"/>
        <v>0.25979999999999998</v>
      </c>
    </row>
    <row r="20" spans="1:27" x14ac:dyDescent="0.2">
      <c r="A20" s="476" t="s">
        <v>912</v>
      </c>
      <c r="B20" t="s">
        <v>906</v>
      </c>
      <c r="C20" s="482">
        <f t="shared" ref="C20:AA20" si="6">C18-C19</f>
        <v>22.6251289839009</v>
      </c>
      <c r="D20" s="482">
        <f t="shared" si="6"/>
        <v>21.330088860545668</v>
      </c>
      <c r="E20" s="482">
        <f t="shared" si="6"/>
        <v>20.107733754218533</v>
      </c>
      <c r="F20" s="482">
        <f t="shared" si="6"/>
        <v>18.953984168381048</v>
      </c>
      <c r="G20" s="482">
        <f t="shared" si="6"/>
        <v>17.91238957104191</v>
      </c>
      <c r="H20" s="482">
        <f t="shared" si="6"/>
        <v>16.884515543964348</v>
      </c>
      <c r="I20" s="482">
        <f t="shared" si="6"/>
        <v>15.914331653133148</v>
      </c>
      <c r="J20" s="482">
        <f t="shared" si="6"/>
        <v>14.9986</v>
      </c>
      <c r="K20" s="482">
        <f t="shared" si="6"/>
        <v>14.18106441529808</v>
      </c>
      <c r="L20" s="482">
        <f t="shared" si="6"/>
        <v>13.365240259361226</v>
      </c>
      <c r="M20" s="482">
        <f t="shared" si="6"/>
        <v>12.595204794907202</v>
      </c>
      <c r="N20" s="482">
        <f t="shared" si="6"/>
        <v>11.868388100155137</v>
      </c>
      <c r="O20" s="482">
        <f t="shared" si="6"/>
        <v>11.182364491950448</v>
      </c>
      <c r="P20" s="482">
        <f t="shared" si="6"/>
        <v>10.582244430272832</v>
      </c>
      <c r="Q20" s="482">
        <f t="shared" si="6"/>
        <v>9.9710668771092639</v>
      </c>
      <c r="R20" s="482">
        <f t="shared" si="6"/>
        <v>9.3941920841905233</v>
      </c>
      <c r="S20" s="482">
        <f t="shared" si="6"/>
        <v>8.8496947855209509</v>
      </c>
      <c r="T20" s="482">
        <f t="shared" si="6"/>
        <v>8.3357577719821716</v>
      </c>
      <c r="U20" s="482">
        <f t="shared" si="6"/>
        <v>7.8980658265665706</v>
      </c>
      <c r="V20" s="482">
        <f t="shared" si="6"/>
        <v>7.4401999999999999</v>
      </c>
      <c r="W20" s="482">
        <f t="shared" si="6"/>
        <v>7.0080322076490393</v>
      </c>
      <c r="X20" s="482">
        <f t="shared" si="6"/>
        <v>6.6001201296806107</v>
      </c>
      <c r="Y20" s="482">
        <f t="shared" si="6"/>
        <v>6.2151023974536006</v>
      </c>
      <c r="Z20" s="482">
        <f t="shared" si="6"/>
        <v>5.8516940500775672</v>
      </c>
      <c r="AA20" s="482">
        <f t="shared" si="6"/>
        <v>5.5086822459752218</v>
      </c>
    </row>
    <row r="21" spans="1:27" x14ac:dyDescent="0.2">
      <c r="A21" s="476" t="s">
        <v>913</v>
      </c>
      <c r="B21" t="s">
        <v>914</v>
      </c>
      <c r="C21">
        <v>13552</v>
      </c>
      <c r="D21">
        <v>13552</v>
      </c>
      <c r="E21">
        <v>13552</v>
      </c>
      <c r="F21">
        <v>13552</v>
      </c>
      <c r="G21">
        <v>13552</v>
      </c>
      <c r="H21">
        <v>13552</v>
      </c>
      <c r="I21">
        <v>13552</v>
      </c>
      <c r="J21">
        <v>13552</v>
      </c>
      <c r="K21">
        <v>13552</v>
      </c>
      <c r="L21">
        <v>13552</v>
      </c>
      <c r="M21">
        <v>13552</v>
      </c>
      <c r="N21">
        <v>13552</v>
      </c>
      <c r="O21">
        <v>13552</v>
      </c>
      <c r="P21">
        <v>13552</v>
      </c>
      <c r="Q21">
        <v>13552</v>
      </c>
      <c r="R21">
        <v>13552</v>
      </c>
      <c r="S21">
        <v>13552</v>
      </c>
      <c r="T21">
        <v>13552</v>
      </c>
      <c r="U21">
        <v>13552</v>
      </c>
      <c r="V21">
        <v>13552</v>
      </c>
      <c r="W21">
        <v>13552</v>
      </c>
      <c r="X21">
        <v>13552</v>
      </c>
      <c r="Y21">
        <v>13552</v>
      </c>
      <c r="Z21">
        <v>13552</v>
      </c>
      <c r="AA21">
        <v>13552</v>
      </c>
    </row>
    <row r="22" spans="1:27" x14ac:dyDescent="0.2">
      <c r="A22" s="479"/>
      <c r="B22" s="479"/>
      <c r="C22" s="479"/>
      <c r="D22" s="479"/>
      <c r="E22" s="479"/>
      <c r="F22" s="479"/>
      <c r="G22" s="479"/>
      <c r="H22" s="479"/>
      <c r="I22" s="479"/>
      <c r="J22" s="479"/>
      <c r="K22" s="479"/>
      <c r="L22" s="479"/>
      <c r="M22" s="479"/>
      <c r="N22" s="479"/>
      <c r="O22" s="479"/>
      <c r="P22" s="479"/>
      <c r="Q22" s="479"/>
      <c r="R22" s="479"/>
      <c r="S22" s="479"/>
      <c r="T22" s="479"/>
      <c r="U22" s="479"/>
      <c r="V22" s="479"/>
      <c r="W22" s="479"/>
      <c r="X22" s="479"/>
      <c r="Y22" s="479"/>
      <c r="Z22" s="479"/>
      <c r="AA22" s="479"/>
    </row>
    <row r="23" spans="1:27" x14ac:dyDescent="0.2">
      <c r="A23" s="480" t="s">
        <v>915</v>
      </c>
      <c r="B23" s="479"/>
      <c r="C23" s="479"/>
      <c r="D23" s="479"/>
      <c r="E23" s="479"/>
      <c r="F23" s="479"/>
      <c r="G23" s="479"/>
      <c r="H23" s="479"/>
      <c r="I23" s="479"/>
      <c r="J23" s="479"/>
      <c r="K23" s="479"/>
      <c r="L23" s="479"/>
      <c r="M23" s="479"/>
      <c r="N23" s="479"/>
      <c r="O23" s="479"/>
      <c r="P23" s="479"/>
      <c r="Q23" s="479"/>
      <c r="R23" s="479"/>
      <c r="S23" s="479"/>
      <c r="T23" s="479"/>
      <c r="U23" s="479"/>
      <c r="V23" s="479"/>
      <c r="W23" s="479"/>
      <c r="X23" s="479"/>
      <c r="Y23" s="479"/>
      <c r="Z23" s="479"/>
      <c r="AA23" s="479"/>
    </row>
    <row r="24" spans="1:27" x14ac:dyDescent="0.2">
      <c r="A24" s="477" t="s">
        <v>239</v>
      </c>
      <c r="C24" s="472" t="s">
        <v>8</v>
      </c>
      <c r="D24" s="472" t="s">
        <v>937</v>
      </c>
      <c r="E24" s="472" t="s">
        <v>10</v>
      </c>
      <c r="F24" s="472" t="s">
        <v>240</v>
      </c>
      <c r="G24" s="472" t="s">
        <v>275</v>
      </c>
      <c r="H24" s="472" t="s">
        <v>13</v>
      </c>
      <c r="I24" s="472" t="s">
        <v>938</v>
      </c>
      <c r="J24" s="472" t="s">
        <v>15</v>
      </c>
      <c r="K24" s="472" t="s">
        <v>939</v>
      </c>
      <c r="L24" s="472" t="s">
        <v>17</v>
      </c>
      <c r="M24" s="472" t="s">
        <v>18</v>
      </c>
      <c r="N24" s="472" t="s">
        <v>936</v>
      </c>
      <c r="O24" s="472" t="s">
        <v>20</v>
      </c>
      <c r="P24" s="472" t="s">
        <v>940</v>
      </c>
      <c r="Q24" s="472" t="s">
        <v>210</v>
      </c>
      <c r="R24" s="472" t="s">
        <v>211</v>
      </c>
      <c r="S24" s="472" t="s">
        <v>941</v>
      </c>
      <c r="T24" s="472" t="s">
        <v>212</v>
      </c>
      <c r="U24" s="472" t="s">
        <v>942</v>
      </c>
      <c r="V24" s="472" t="s">
        <v>725</v>
      </c>
      <c r="W24" s="472" t="s">
        <v>943</v>
      </c>
      <c r="X24" s="472" t="s">
        <v>734</v>
      </c>
      <c r="Y24" s="472" t="s">
        <v>737</v>
      </c>
      <c r="Z24" s="472" t="s">
        <v>944</v>
      </c>
      <c r="AA24" s="472" t="s">
        <v>740</v>
      </c>
    </row>
    <row r="25" spans="1:27" x14ac:dyDescent="0.2">
      <c r="A25" t="s">
        <v>916</v>
      </c>
      <c r="B25" t="s">
        <v>917</v>
      </c>
      <c r="C25" s="481">
        <f t="shared" ref="C25:AA25" si="7">((2^(1/12))^(C4-49))*440</f>
        <v>293.66476791740752</v>
      </c>
      <c r="D25" s="481">
        <f t="shared" si="7"/>
        <v>311.12698372208087</v>
      </c>
      <c r="E25" s="481">
        <f t="shared" si="7"/>
        <v>329.62755691286992</v>
      </c>
      <c r="F25" s="481">
        <f t="shared" si="7"/>
        <v>349.22823143300388</v>
      </c>
      <c r="G25" s="481">
        <f t="shared" si="7"/>
        <v>369.99442271163434</v>
      </c>
      <c r="H25" s="481">
        <f t="shared" si="7"/>
        <v>391.99543598174927</v>
      </c>
      <c r="I25" s="481">
        <f t="shared" si="7"/>
        <v>415.30469757994513</v>
      </c>
      <c r="J25" s="481">
        <f t="shared" si="7"/>
        <v>440</v>
      </c>
      <c r="K25" s="481">
        <f t="shared" si="7"/>
        <v>466.16376151808993</v>
      </c>
      <c r="L25" s="481">
        <f t="shared" si="7"/>
        <v>493.88330125612413</v>
      </c>
      <c r="M25" s="481">
        <f t="shared" si="7"/>
        <v>523.25113060119736</v>
      </c>
      <c r="N25" s="481">
        <f t="shared" si="7"/>
        <v>554.36526195374415</v>
      </c>
      <c r="O25" s="481">
        <f t="shared" si="7"/>
        <v>587.32953583481515</v>
      </c>
      <c r="P25" s="481">
        <f t="shared" si="7"/>
        <v>622.25396744416184</v>
      </c>
      <c r="Q25" s="481">
        <f t="shared" si="7"/>
        <v>659.25511382573995</v>
      </c>
      <c r="R25" s="481">
        <f t="shared" si="7"/>
        <v>698.45646286600777</v>
      </c>
      <c r="S25" s="481">
        <f t="shared" si="7"/>
        <v>739.98884542326891</v>
      </c>
      <c r="T25" s="481">
        <f t="shared" si="7"/>
        <v>783.99087196349865</v>
      </c>
      <c r="U25" s="481">
        <f t="shared" si="7"/>
        <v>830.60939515989048</v>
      </c>
      <c r="V25" s="481">
        <f t="shared" si="7"/>
        <v>880</v>
      </c>
      <c r="W25" s="481">
        <f t="shared" si="7"/>
        <v>932.32752303617985</v>
      </c>
      <c r="X25" s="481">
        <f t="shared" si="7"/>
        <v>987.76660251224848</v>
      </c>
      <c r="Y25" s="481">
        <f t="shared" si="7"/>
        <v>1046.5022612023947</v>
      </c>
      <c r="Z25" s="481">
        <f t="shared" si="7"/>
        <v>1108.7305239074885</v>
      </c>
      <c r="AA25" s="481">
        <f t="shared" si="7"/>
        <v>1174.6590716696305</v>
      </c>
    </row>
    <row r="26" spans="1:27" x14ac:dyDescent="0.2">
      <c r="A26" t="s">
        <v>918</v>
      </c>
      <c r="C26" s="472" t="s">
        <v>10</v>
      </c>
      <c r="D26" s="472" t="s">
        <v>240</v>
      </c>
      <c r="E26" s="472" t="s">
        <v>275</v>
      </c>
      <c r="F26" s="472" t="s">
        <v>13</v>
      </c>
      <c r="G26" s="472" t="s">
        <v>938</v>
      </c>
      <c r="H26" s="472" t="s">
        <v>15</v>
      </c>
      <c r="I26" s="472" t="s">
        <v>939</v>
      </c>
      <c r="J26" s="472" t="s">
        <v>17</v>
      </c>
      <c r="K26" s="472" t="s">
        <v>18</v>
      </c>
      <c r="L26" s="472" t="s">
        <v>936</v>
      </c>
      <c r="M26" s="472" t="s">
        <v>20</v>
      </c>
      <c r="N26" s="472" t="s">
        <v>940</v>
      </c>
      <c r="O26" s="472" t="s">
        <v>210</v>
      </c>
      <c r="P26" s="472" t="s">
        <v>211</v>
      </c>
      <c r="Q26" s="472" t="s">
        <v>941</v>
      </c>
      <c r="R26" s="472" t="s">
        <v>212</v>
      </c>
      <c r="S26" s="472" t="s">
        <v>942</v>
      </c>
      <c r="T26" s="472" t="s">
        <v>725</v>
      </c>
      <c r="U26" s="472" t="s">
        <v>943</v>
      </c>
      <c r="V26" s="472" t="s">
        <v>734</v>
      </c>
      <c r="W26" s="472" t="s">
        <v>737</v>
      </c>
      <c r="X26" s="472" t="s">
        <v>944</v>
      </c>
      <c r="Y26" s="472" t="s">
        <v>740</v>
      </c>
      <c r="Z26" s="472" t="s">
        <v>945</v>
      </c>
      <c r="AA26" s="472" t="s">
        <v>744</v>
      </c>
    </row>
    <row r="27" spans="1:27" x14ac:dyDescent="0.2">
      <c r="A27" t="s">
        <v>919</v>
      </c>
      <c r="B27" t="s">
        <v>917</v>
      </c>
      <c r="C27" s="481">
        <f t="shared" ref="C27:AA27" si="8">((2^(1/12))^(C4+2-49))*440</f>
        <v>329.62755691286992</v>
      </c>
      <c r="D27" s="481">
        <f t="shared" si="8"/>
        <v>349.22823143300388</v>
      </c>
      <c r="E27" s="481">
        <f t="shared" si="8"/>
        <v>369.99442271163434</v>
      </c>
      <c r="F27" s="481">
        <f t="shared" si="8"/>
        <v>391.99543598174927</v>
      </c>
      <c r="G27" s="481">
        <f t="shared" si="8"/>
        <v>415.30469757994513</v>
      </c>
      <c r="H27" s="481">
        <f t="shared" si="8"/>
        <v>440</v>
      </c>
      <c r="I27" s="481">
        <f t="shared" si="8"/>
        <v>466.16376151808993</v>
      </c>
      <c r="J27" s="481">
        <f t="shared" si="8"/>
        <v>493.88330125612413</v>
      </c>
      <c r="K27" s="481">
        <f t="shared" si="8"/>
        <v>523.25113060119736</v>
      </c>
      <c r="L27" s="481">
        <f t="shared" si="8"/>
        <v>554.36526195374415</v>
      </c>
      <c r="M27" s="481">
        <f t="shared" si="8"/>
        <v>587.32953583481515</v>
      </c>
      <c r="N27" s="481">
        <f t="shared" si="8"/>
        <v>622.25396744416184</v>
      </c>
      <c r="O27" s="481">
        <f t="shared" si="8"/>
        <v>659.25511382573995</v>
      </c>
      <c r="P27" s="481">
        <f t="shared" si="8"/>
        <v>698.45646286600777</v>
      </c>
      <c r="Q27" s="481">
        <f t="shared" si="8"/>
        <v>739.98884542326891</v>
      </c>
      <c r="R27" s="481">
        <f t="shared" si="8"/>
        <v>783.99087196349865</v>
      </c>
      <c r="S27" s="481">
        <f t="shared" si="8"/>
        <v>830.60939515989048</v>
      </c>
      <c r="T27" s="481">
        <f t="shared" si="8"/>
        <v>880</v>
      </c>
      <c r="U27" s="481">
        <f t="shared" si="8"/>
        <v>932.32752303617985</v>
      </c>
      <c r="V27" s="481">
        <f t="shared" si="8"/>
        <v>987.76660251224848</v>
      </c>
      <c r="W27" s="481">
        <f t="shared" si="8"/>
        <v>1046.5022612023947</v>
      </c>
      <c r="X27" s="481">
        <f t="shared" si="8"/>
        <v>1108.7305239074885</v>
      </c>
      <c r="Y27" s="481">
        <f t="shared" si="8"/>
        <v>1174.6590716696305</v>
      </c>
      <c r="Z27" s="481">
        <f t="shared" si="8"/>
        <v>1244.5079348883239</v>
      </c>
      <c r="AA27" s="481">
        <f t="shared" si="8"/>
        <v>1318.5102276514801</v>
      </c>
    </row>
    <row r="28" spans="1:27" x14ac:dyDescent="0.2">
      <c r="A28" s="476" t="s">
        <v>97</v>
      </c>
      <c r="B28" t="s">
        <v>906</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row>
    <row r="29" spans="1:27" x14ac:dyDescent="0.2">
      <c r="A29" t="s">
        <v>920</v>
      </c>
      <c r="B29" t="s">
        <v>906</v>
      </c>
      <c r="C29" s="482">
        <f t="shared" ref="C29:AA29" si="9">C18*C25/C27</f>
        <v>20.556533754218531</v>
      </c>
      <c r="D29" s="482">
        <f t="shared" si="9"/>
        <v>19.402784168381046</v>
      </c>
      <c r="E29" s="482">
        <f t="shared" si="9"/>
        <v>18.313789571041909</v>
      </c>
      <c r="F29" s="482">
        <f t="shared" si="9"/>
        <v>17.285915543964347</v>
      </c>
      <c r="G29" s="482">
        <f t="shared" si="9"/>
        <v>16.315731653133149</v>
      </c>
      <c r="H29" s="482">
        <f t="shared" si="9"/>
        <v>15.400000000000002</v>
      </c>
      <c r="I29" s="482">
        <f t="shared" si="9"/>
        <v>14.535664415298081</v>
      </c>
      <c r="J29" s="482">
        <f t="shared" si="9"/>
        <v>13.719840259361225</v>
      </c>
      <c r="K29" s="482">
        <f t="shared" si="9"/>
        <v>12.949804794907202</v>
      </c>
      <c r="L29" s="482">
        <f t="shared" si="9"/>
        <v>12.222988100155137</v>
      </c>
      <c r="M29" s="482">
        <f t="shared" si="9"/>
        <v>11.536964491950448</v>
      </c>
      <c r="N29" s="482">
        <f t="shared" si="9"/>
        <v>10.889444430272832</v>
      </c>
      <c r="O29" s="482">
        <f t="shared" si="9"/>
        <v>10.278266877109264</v>
      </c>
      <c r="P29" s="482">
        <f t="shared" si="9"/>
        <v>9.7013920841905232</v>
      </c>
      <c r="Q29" s="482">
        <f t="shared" si="9"/>
        <v>9.1568947855209508</v>
      </c>
      <c r="R29" s="482">
        <f t="shared" si="9"/>
        <v>8.6429577719821715</v>
      </c>
      <c r="S29" s="482">
        <f t="shared" si="9"/>
        <v>8.1578658265665709</v>
      </c>
      <c r="T29" s="482">
        <f t="shared" si="9"/>
        <v>7.7</v>
      </c>
      <c r="U29" s="482">
        <f t="shared" si="9"/>
        <v>7.2678322076490387</v>
      </c>
      <c r="V29" s="482">
        <f t="shared" si="9"/>
        <v>6.8599201296806109</v>
      </c>
      <c r="W29" s="482">
        <f t="shared" si="9"/>
        <v>6.4749023974536009</v>
      </c>
      <c r="X29" s="482">
        <f t="shared" si="9"/>
        <v>6.1114940500775674</v>
      </c>
      <c r="Y29" s="482">
        <f t="shared" si="9"/>
        <v>5.7684822459752221</v>
      </c>
      <c r="Z29" s="482">
        <f t="shared" si="9"/>
        <v>5.444722215136415</v>
      </c>
      <c r="AA29" s="482">
        <f t="shared" si="9"/>
        <v>5.139133438554631</v>
      </c>
    </row>
    <row r="30" spans="1:27" x14ac:dyDescent="0.2">
      <c r="A30" t="s">
        <v>921</v>
      </c>
      <c r="C30" s="472" t="s">
        <v>275</v>
      </c>
      <c r="D30" s="472" t="s">
        <v>13</v>
      </c>
      <c r="E30" s="472" t="s">
        <v>938</v>
      </c>
      <c r="F30" s="472" t="s">
        <v>15</v>
      </c>
      <c r="G30" s="472" t="s">
        <v>939</v>
      </c>
      <c r="H30" s="472" t="s">
        <v>17</v>
      </c>
      <c r="I30" s="472" t="s">
        <v>18</v>
      </c>
      <c r="J30" s="472" t="s">
        <v>936</v>
      </c>
      <c r="K30" s="472" t="s">
        <v>20</v>
      </c>
      <c r="L30" s="472" t="s">
        <v>940</v>
      </c>
      <c r="M30" s="472" t="s">
        <v>210</v>
      </c>
      <c r="N30" s="472" t="s">
        <v>211</v>
      </c>
      <c r="O30" s="472" t="s">
        <v>941</v>
      </c>
      <c r="P30" s="472" t="s">
        <v>212</v>
      </c>
      <c r="Q30" s="472" t="s">
        <v>942</v>
      </c>
      <c r="R30" s="472" t="s">
        <v>725</v>
      </c>
      <c r="S30" s="472" t="s">
        <v>943</v>
      </c>
      <c r="T30" s="472" t="s">
        <v>734</v>
      </c>
      <c r="U30" s="472" t="s">
        <v>737</v>
      </c>
      <c r="V30" s="472" t="s">
        <v>944</v>
      </c>
      <c r="W30" s="472" t="s">
        <v>740</v>
      </c>
      <c r="X30" s="472" t="s">
        <v>945</v>
      </c>
      <c r="Y30" s="472" t="s">
        <v>744</v>
      </c>
      <c r="Z30" s="472" t="s">
        <v>746</v>
      </c>
      <c r="AA30" s="472" t="s">
        <v>946</v>
      </c>
    </row>
    <row r="31" spans="1:27" x14ac:dyDescent="0.2">
      <c r="A31" t="s">
        <v>922</v>
      </c>
      <c r="B31" t="s">
        <v>917</v>
      </c>
      <c r="C31" s="481">
        <f t="shared" ref="C31:AA31" si="10">((2^(1/12))^(C4+4-49))*440</f>
        <v>369.99442271163434</v>
      </c>
      <c r="D31" s="481">
        <f t="shared" si="10"/>
        <v>391.99543598174927</v>
      </c>
      <c r="E31" s="481">
        <f t="shared" si="10"/>
        <v>415.30469757994513</v>
      </c>
      <c r="F31" s="481">
        <f t="shared" si="10"/>
        <v>440</v>
      </c>
      <c r="G31" s="481">
        <f t="shared" si="10"/>
        <v>466.16376151808993</v>
      </c>
      <c r="H31" s="481">
        <f t="shared" si="10"/>
        <v>493.88330125612413</v>
      </c>
      <c r="I31" s="481">
        <f t="shared" si="10"/>
        <v>523.25113060119736</v>
      </c>
      <c r="J31" s="481">
        <f t="shared" si="10"/>
        <v>554.36526195374415</v>
      </c>
      <c r="K31" s="481">
        <f t="shared" si="10"/>
        <v>587.32953583481515</v>
      </c>
      <c r="L31" s="481">
        <f t="shared" si="10"/>
        <v>622.25396744416184</v>
      </c>
      <c r="M31" s="481">
        <f t="shared" si="10"/>
        <v>659.25511382573995</v>
      </c>
      <c r="N31" s="481">
        <f t="shared" si="10"/>
        <v>698.45646286600777</v>
      </c>
      <c r="O31" s="481">
        <f t="shared" si="10"/>
        <v>739.98884542326891</v>
      </c>
      <c r="P31" s="481">
        <f t="shared" si="10"/>
        <v>783.99087196349865</v>
      </c>
      <c r="Q31" s="481">
        <f t="shared" si="10"/>
        <v>830.60939515989048</v>
      </c>
      <c r="R31" s="481">
        <f t="shared" si="10"/>
        <v>880</v>
      </c>
      <c r="S31" s="481">
        <f t="shared" si="10"/>
        <v>932.32752303617985</v>
      </c>
      <c r="T31" s="481">
        <f t="shared" si="10"/>
        <v>987.76660251224848</v>
      </c>
      <c r="U31" s="481">
        <f t="shared" si="10"/>
        <v>1046.5022612023947</v>
      </c>
      <c r="V31" s="481">
        <f t="shared" si="10"/>
        <v>1108.7305239074885</v>
      </c>
      <c r="W31" s="481">
        <f t="shared" si="10"/>
        <v>1174.6590716696305</v>
      </c>
      <c r="X31" s="481">
        <f t="shared" si="10"/>
        <v>1244.5079348883239</v>
      </c>
      <c r="Y31" s="481">
        <f t="shared" si="10"/>
        <v>1318.5102276514801</v>
      </c>
      <c r="Z31" s="481">
        <f t="shared" si="10"/>
        <v>1396.9129257320158</v>
      </c>
      <c r="AA31" s="481">
        <f t="shared" si="10"/>
        <v>1479.9776908465378</v>
      </c>
    </row>
    <row r="32" spans="1:27" x14ac:dyDescent="0.2">
      <c r="A32" s="476" t="s">
        <v>100</v>
      </c>
      <c r="B32" t="s">
        <v>906</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row>
    <row r="33" spans="1:27" x14ac:dyDescent="0.2">
      <c r="A33" t="s">
        <v>923</v>
      </c>
      <c r="B33" t="s">
        <v>906</v>
      </c>
      <c r="C33" s="482">
        <f t="shared" ref="C33:AA33" si="11">C18*C25/C31</f>
        <v>18.313789571041909</v>
      </c>
      <c r="D33" s="482">
        <f t="shared" si="11"/>
        <v>17.285915543964347</v>
      </c>
      <c r="E33" s="482">
        <f t="shared" si="11"/>
        <v>16.315731653133149</v>
      </c>
      <c r="F33" s="482">
        <f t="shared" si="11"/>
        <v>15.4</v>
      </c>
      <c r="G33" s="482">
        <f t="shared" si="11"/>
        <v>14.535664415298081</v>
      </c>
      <c r="H33" s="482">
        <f t="shared" si="11"/>
        <v>13.719840259361227</v>
      </c>
      <c r="I33" s="482">
        <f t="shared" si="11"/>
        <v>12.949804794907203</v>
      </c>
      <c r="J33" s="482">
        <f t="shared" si="11"/>
        <v>12.222988100155137</v>
      </c>
      <c r="K33" s="482">
        <f t="shared" si="11"/>
        <v>11.536964491950448</v>
      </c>
      <c r="L33" s="482">
        <f t="shared" si="11"/>
        <v>10.889444430272832</v>
      </c>
      <c r="M33" s="482">
        <f t="shared" si="11"/>
        <v>10.278266877109264</v>
      </c>
      <c r="N33" s="482">
        <f t="shared" si="11"/>
        <v>9.7013920841905232</v>
      </c>
      <c r="O33" s="482">
        <f t="shared" si="11"/>
        <v>9.1568947855209508</v>
      </c>
      <c r="P33" s="482">
        <f t="shared" si="11"/>
        <v>8.6429577719821715</v>
      </c>
      <c r="Q33" s="482">
        <f t="shared" si="11"/>
        <v>8.1578658265665709</v>
      </c>
      <c r="R33" s="482">
        <f t="shared" si="11"/>
        <v>7.7</v>
      </c>
      <c r="S33" s="482">
        <f t="shared" si="11"/>
        <v>7.2678322076490396</v>
      </c>
      <c r="T33" s="482">
        <f t="shared" si="11"/>
        <v>6.8599201296806109</v>
      </c>
      <c r="U33" s="482">
        <f t="shared" si="11"/>
        <v>6.4749023974536</v>
      </c>
      <c r="V33" s="482">
        <f t="shared" si="11"/>
        <v>6.1114940500775674</v>
      </c>
      <c r="W33" s="482">
        <f t="shared" si="11"/>
        <v>5.7684822459752221</v>
      </c>
      <c r="X33" s="482">
        <f t="shared" si="11"/>
        <v>5.444722215136415</v>
      </c>
      <c r="Y33" s="482">
        <f t="shared" si="11"/>
        <v>5.139133438554631</v>
      </c>
      <c r="Z33" s="482">
        <f t="shared" si="11"/>
        <v>4.8506960420952607</v>
      </c>
      <c r="AA33" s="482">
        <f t="shared" si="11"/>
        <v>4.5784473927604754</v>
      </c>
    </row>
    <row r="34" spans="1:27" x14ac:dyDescent="0.2">
      <c r="A34" t="s">
        <v>924</v>
      </c>
      <c r="C34" s="472" t="s">
        <v>13</v>
      </c>
      <c r="D34" s="472" t="s">
        <v>938</v>
      </c>
      <c r="E34" s="472" t="s">
        <v>15</v>
      </c>
      <c r="F34" s="472" t="s">
        <v>939</v>
      </c>
      <c r="G34" s="472" t="s">
        <v>17</v>
      </c>
      <c r="H34" s="472" t="s">
        <v>18</v>
      </c>
      <c r="I34" s="472" t="s">
        <v>936</v>
      </c>
      <c r="J34" s="472" t="s">
        <v>20</v>
      </c>
      <c r="K34" s="472" t="s">
        <v>940</v>
      </c>
      <c r="L34" s="472" t="s">
        <v>210</v>
      </c>
      <c r="M34" s="472" t="s">
        <v>211</v>
      </c>
      <c r="N34" s="472" t="s">
        <v>941</v>
      </c>
      <c r="O34" s="472" t="s">
        <v>212</v>
      </c>
      <c r="P34" s="472" t="s">
        <v>942</v>
      </c>
      <c r="Q34" s="472" t="s">
        <v>725</v>
      </c>
      <c r="R34" s="472" t="s">
        <v>943</v>
      </c>
      <c r="S34" s="472" t="s">
        <v>734</v>
      </c>
      <c r="T34" s="472" t="s">
        <v>737</v>
      </c>
      <c r="U34" s="472" t="s">
        <v>944</v>
      </c>
      <c r="V34" s="472" t="s">
        <v>740</v>
      </c>
      <c r="W34" s="472" t="s">
        <v>945</v>
      </c>
      <c r="X34" s="472" t="s">
        <v>744</v>
      </c>
      <c r="Y34" s="472" t="s">
        <v>746</v>
      </c>
      <c r="Z34" s="472" t="s">
        <v>946</v>
      </c>
      <c r="AA34" s="472" t="s">
        <v>749</v>
      </c>
    </row>
    <row r="35" spans="1:27" x14ac:dyDescent="0.2">
      <c r="A35" t="s">
        <v>925</v>
      </c>
      <c r="B35" t="s">
        <v>917</v>
      </c>
      <c r="C35" s="481">
        <f t="shared" ref="C35:AA35" si="12">((2^(1/12))^(C4+5-49))*440</f>
        <v>391.99543598174927</v>
      </c>
      <c r="D35" s="481">
        <f t="shared" si="12"/>
        <v>415.30469757994513</v>
      </c>
      <c r="E35" s="481">
        <f t="shared" si="12"/>
        <v>440</v>
      </c>
      <c r="F35" s="481">
        <f t="shared" si="12"/>
        <v>466.16376151808993</v>
      </c>
      <c r="G35" s="481">
        <f t="shared" si="12"/>
        <v>493.88330125612413</v>
      </c>
      <c r="H35" s="481">
        <f t="shared" si="12"/>
        <v>523.25113060119736</v>
      </c>
      <c r="I35" s="481">
        <f t="shared" si="12"/>
        <v>554.36526195374415</v>
      </c>
      <c r="J35" s="481">
        <f t="shared" si="12"/>
        <v>587.32953583481515</v>
      </c>
      <c r="K35" s="481">
        <f t="shared" si="12"/>
        <v>622.25396744416184</v>
      </c>
      <c r="L35" s="481">
        <f t="shared" si="12"/>
        <v>659.25511382573995</v>
      </c>
      <c r="M35" s="481">
        <f t="shared" si="12"/>
        <v>698.45646286600777</v>
      </c>
      <c r="N35" s="481">
        <f t="shared" si="12"/>
        <v>739.98884542326891</v>
      </c>
      <c r="O35" s="481">
        <f t="shared" si="12"/>
        <v>783.99087196349865</v>
      </c>
      <c r="P35" s="481">
        <f t="shared" si="12"/>
        <v>830.60939515989048</v>
      </c>
      <c r="Q35" s="481">
        <f t="shared" si="12"/>
        <v>880</v>
      </c>
      <c r="R35" s="481">
        <f t="shared" si="12"/>
        <v>932.32752303617985</v>
      </c>
      <c r="S35" s="481">
        <f t="shared" si="12"/>
        <v>987.76660251224848</v>
      </c>
      <c r="T35" s="481">
        <f t="shared" si="12"/>
        <v>1046.5022612023947</v>
      </c>
      <c r="U35" s="481">
        <f t="shared" si="12"/>
        <v>1108.7305239074885</v>
      </c>
      <c r="V35" s="481">
        <f t="shared" si="12"/>
        <v>1174.6590716696305</v>
      </c>
      <c r="W35" s="481">
        <f t="shared" si="12"/>
        <v>1244.5079348883239</v>
      </c>
      <c r="X35" s="481">
        <f t="shared" si="12"/>
        <v>1318.5102276514801</v>
      </c>
      <c r="Y35" s="481">
        <f t="shared" si="12"/>
        <v>1396.9129257320158</v>
      </c>
      <c r="Z35" s="481">
        <f t="shared" si="12"/>
        <v>1479.9776908465378</v>
      </c>
      <c r="AA35" s="481">
        <f t="shared" si="12"/>
        <v>1567.9817439269975</v>
      </c>
    </row>
    <row r="36" spans="1:27" x14ac:dyDescent="0.2">
      <c r="A36" s="476" t="s">
        <v>102</v>
      </c>
      <c r="B36" t="s">
        <v>906</v>
      </c>
      <c r="C36" s="483"/>
      <c r="D36" s="483"/>
      <c r="E36" s="483"/>
      <c r="F36" s="483"/>
      <c r="G36" s="483"/>
      <c r="H36" s="483"/>
      <c r="I36" s="483"/>
      <c r="J36" s="483"/>
      <c r="K36" s="483"/>
      <c r="L36" s="483"/>
      <c r="M36" s="483"/>
      <c r="N36" s="483"/>
      <c r="O36" s="483"/>
      <c r="P36" s="483"/>
      <c r="Q36" s="483"/>
      <c r="R36" s="483"/>
      <c r="S36" s="483"/>
      <c r="T36" s="483"/>
      <c r="U36" s="483"/>
      <c r="V36" s="483"/>
      <c r="W36" s="483"/>
      <c r="X36" s="483"/>
      <c r="Y36" s="483"/>
      <c r="Z36" s="483"/>
      <c r="AA36" s="483"/>
    </row>
    <row r="37" spans="1:27" x14ac:dyDescent="0.2">
      <c r="A37" t="s">
        <v>926</v>
      </c>
      <c r="B37" t="s">
        <v>906</v>
      </c>
      <c r="C37" s="482">
        <f t="shared" ref="C37:AA37" si="13">C18*C25/C35</f>
        <v>17.285915543964347</v>
      </c>
      <c r="D37" s="482">
        <f t="shared" si="13"/>
        <v>16.315731653133149</v>
      </c>
      <c r="E37" s="482">
        <f t="shared" si="13"/>
        <v>15.4</v>
      </c>
      <c r="F37" s="482">
        <f t="shared" si="13"/>
        <v>14.535664415298079</v>
      </c>
      <c r="G37" s="482">
        <f t="shared" si="13"/>
        <v>13.719840259361227</v>
      </c>
      <c r="H37" s="482">
        <f t="shared" si="13"/>
        <v>12.949804794907203</v>
      </c>
      <c r="I37" s="482">
        <f t="shared" si="13"/>
        <v>12.222988100155138</v>
      </c>
      <c r="J37" s="482">
        <f t="shared" si="13"/>
        <v>11.536964491950448</v>
      </c>
      <c r="K37" s="482">
        <f t="shared" si="13"/>
        <v>10.889444430272832</v>
      </c>
      <c r="L37" s="482">
        <f t="shared" si="13"/>
        <v>10.278266877109264</v>
      </c>
      <c r="M37" s="482">
        <f t="shared" si="13"/>
        <v>9.7013920841905232</v>
      </c>
      <c r="N37" s="482">
        <f t="shared" si="13"/>
        <v>9.1568947855209508</v>
      </c>
      <c r="O37" s="482">
        <f t="shared" si="13"/>
        <v>8.6429577719821715</v>
      </c>
      <c r="P37" s="482">
        <f t="shared" si="13"/>
        <v>8.1578658265665709</v>
      </c>
      <c r="Q37" s="482">
        <f t="shared" si="13"/>
        <v>7.7</v>
      </c>
      <c r="R37" s="482">
        <f t="shared" si="13"/>
        <v>7.2678322076490396</v>
      </c>
      <c r="S37" s="482">
        <f t="shared" si="13"/>
        <v>6.8599201296806109</v>
      </c>
      <c r="T37" s="482">
        <f t="shared" si="13"/>
        <v>6.4749023974536009</v>
      </c>
      <c r="U37" s="482">
        <f t="shared" si="13"/>
        <v>6.1114940500775665</v>
      </c>
      <c r="V37" s="482">
        <f t="shared" si="13"/>
        <v>5.7684822459752221</v>
      </c>
      <c r="W37" s="482">
        <f t="shared" si="13"/>
        <v>5.444722215136415</v>
      </c>
      <c r="X37" s="482">
        <f t="shared" si="13"/>
        <v>5.139133438554631</v>
      </c>
      <c r="Y37" s="482">
        <f t="shared" si="13"/>
        <v>4.8506960420952607</v>
      </c>
      <c r="Z37" s="482">
        <f t="shared" si="13"/>
        <v>4.5784473927604754</v>
      </c>
      <c r="AA37" s="482">
        <f t="shared" si="13"/>
        <v>4.3214788859910849</v>
      </c>
    </row>
    <row r="38" spans="1:27" x14ac:dyDescent="0.2">
      <c r="A38" t="s">
        <v>927</v>
      </c>
      <c r="C38" s="472" t="s">
        <v>15</v>
      </c>
      <c r="D38" s="472" t="s">
        <v>939</v>
      </c>
      <c r="E38" s="472" t="s">
        <v>17</v>
      </c>
      <c r="F38" s="472" t="s">
        <v>18</v>
      </c>
      <c r="G38" s="472" t="s">
        <v>936</v>
      </c>
      <c r="H38" s="472" t="s">
        <v>20</v>
      </c>
      <c r="I38" s="472" t="s">
        <v>940</v>
      </c>
      <c r="J38" s="472" t="s">
        <v>210</v>
      </c>
      <c r="K38" s="472" t="s">
        <v>211</v>
      </c>
      <c r="L38" s="472" t="s">
        <v>941</v>
      </c>
      <c r="M38" s="472" t="s">
        <v>212</v>
      </c>
      <c r="N38" s="472" t="s">
        <v>942</v>
      </c>
      <c r="O38" s="472" t="s">
        <v>725</v>
      </c>
      <c r="P38" s="472" t="s">
        <v>943</v>
      </c>
      <c r="Q38" s="472" t="s">
        <v>734</v>
      </c>
      <c r="R38" s="472" t="s">
        <v>737</v>
      </c>
      <c r="S38" s="472" t="s">
        <v>944</v>
      </c>
      <c r="T38" s="472" t="s">
        <v>740</v>
      </c>
      <c r="U38" s="472" t="s">
        <v>945</v>
      </c>
      <c r="V38" s="472" t="s">
        <v>744</v>
      </c>
      <c r="W38" s="472" t="s">
        <v>746</v>
      </c>
      <c r="X38" s="472" t="s">
        <v>946</v>
      </c>
      <c r="Y38" s="472" t="s">
        <v>749</v>
      </c>
      <c r="Z38" s="472" t="s">
        <v>947</v>
      </c>
      <c r="AA38" s="472" t="s">
        <v>887</v>
      </c>
    </row>
    <row r="39" spans="1:27" x14ac:dyDescent="0.2">
      <c r="A39" t="s">
        <v>928</v>
      </c>
      <c r="B39" t="s">
        <v>917</v>
      </c>
      <c r="C39" s="481">
        <f t="shared" ref="C39:AA39" si="14">((2^(1/12))^(C4+7-49))*440</f>
        <v>440</v>
      </c>
      <c r="D39" s="481">
        <f t="shared" si="14"/>
        <v>466.16376151808993</v>
      </c>
      <c r="E39" s="481">
        <f t="shared" si="14"/>
        <v>493.88330125612413</v>
      </c>
      <c r="F39" s="481">
        <f t="shared" si="14"/>
        <v>523.25113060119736</v>
      </c>
      <c r="G39" s="481">
        <f t="shared" si="14"/>
        <v>554.36526195374415</v>
      </c>
      <c r="H39" s="481">
        <f t="shared" si="14"/>
        <v>587.32953583481515</v>
      </c>
      <c r="I39" s="481">
        <f t="shared" si="14"/>
        <v>622.25396744416184</v>
      </c>
      <c r="J39" s="481">
        <f t="shared" si="14"/>
        <v>659.25511382573995</v>
      </c>
      <c r="K39" s="481">
        <f t="shared" si="14"/>
        <v>698.45646286600777</v>
      </c>
      <c r="L39" s="481">
        <f t="shared" si="14"/>
        <v>739.98884542326891</v>
      </c>
      <c r="M39" s="481">
        <f t="shared" si="14"/>
        <v>783.99087196349865</v>
      </c>
      <c r="N39" s="481">
        <f t="shared" si="14"/>
        <v>830.60939515989048</v>
      </c>
      <c r="O39" s="481">
        <f t="shared" si="14"/>
        <v>880</v>
      </c>
      <c r="P39" s="481">
        <f t="shared" si="14"/>
        <v>932.32752303617985</v>
      </c>
      <c r="Q39" s="481">
        <f t="shared" si="14"/>
        <v>987.76660251224848</v>
      </c>
      <c r="R39" s="481">
        <f t="shared" si="14"/>
        <v>1046.5022612023947</v>
      </c>
      <c r="S39" s="481">
        <f t="shared" si="14"/>
        <v>1108.7305239074885</v>
      </c>
      <c r="T39" s="481">
        <f t="shared" si="14"/>
        <v>1174.6590716696305</v>
      </c>
      <c r="U39" s="481">
        <f t="shared" si="14"/>
        <v>1244.5079348883239</v>
      </c>
      <c r="V39" s="481">
        <f t="shared" si="14"/>
        <v>1318.5102276514801</v>
      </c>
      <c r="W39" s="481">
        <f t="shared" si="14"/>
        <v>1396.9129257320158</v>
      </c>
      <c r="X39" s="481">
        <f t="shared" si="14"/>
        <v>1479.9776908465378</v>
      </c>
      <c r="Y39" s="481">
        <f t="shared" si="14"/>
        <v>1567.9817439269975</v>
      </c>
      <c r="Z39" s="481">
        <f t="shared" si="14"/>
        <v>1661.2187903197812</v>
      </c>
      <c r="AA39" s="481">
        <f t="shared" si="14"/>
        <v>1760.0000000000005</v>
      </c>
    </row>
    <row r="40" spans="1:27" x14ac:dyDescent="0.2">
      <c r="A40" s="476" t="s">
        <v>104</v>
      </c>
      <c r="B40" t="s">
        <v>906</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row>
    <row r="41" spans="1:27" x14ac:dyDescent="0.2">
      <c r="A41" t="s">
        <v>929</v>
      </c>
      <c r="B41" t="s">
        <v>906</v>
      </c>
      <c r="C41" s="482">
        <f t="shared" ref="C41:AA41" si="15">C18*C25/C39</f>
        <v>15.4</v>
      </c>
      <c r="D41" s="482">
        <f t="shared" si="15"/>
        <v>14.535664415298079</v>
      </c>
      <c r="E41" s="482">
        <f t="shared" si="15"/>
        <v>13.719840259361225</v>
      </c>
      <c r="F41" s="482">
        <f t="shared" si="15"/>
        <v>12.949804794907202</v>
      </c>
      <c r="G41" s="482">
        <f t="shared" si="15"/>
        <v>12.222988100155138</v>
      </c>
      <c r="H41" s="482">
        <f t="shared" si="15"/>
        <v>11.536964491950448</v>
      </c>
      <c r="I41" s="482">
        <f t="shared" si="15"/>
        <v>10.889444430272833</v>
      </c>
      <c r="J41" s="482">
        <f t="shared" si="15"/>
        <v>10.278266877109264</v>
      </c>
      <c r="K41" s="482">
        <f t="shared" si="15"/>
        <v>9.7013920841905232</v>
      </c>
      <c r="L41" s="482">
        <f t="shared" si="15"/>
        <v>9.1568947855209508</v>
      </c>
      <c r="M41" s="482">
        <f t="shared" si="15"/>
        <v>8.6429577719821715</v>
      </c>
      <c r="N41" s="482">
        <f t="shared" si="15"/>
        <v>8.1578658265665709</v>
      </c>
      <c r="O41" s="482">
        <f t="shared" si="15"/>
        <v>7.7</v>
      </c>
      <c r="P41" s="482">
        <f t="shared" si="15"/>
        <v>7.2678322076490396</v>
      </c>
      <c r="Q41" s="482">
        <f t="shared" si="15"/>
        <v>6.8599201296806109</v>
      </c>
      <c r="R41" s="482">
        <f t="shared" si="15"/>
        <v>6.4749023974536009</v>
      </c>
      <c r="S41" s="482">
        <f t="shared" si="15"/>
        <v>6.1114940500775674</v>
      </c>
      <c r="T41" s="482">
        <f t="shared" si="15"/>
        <v>5.7684822459752221</v>
      </c>
      <c r="U41" s="482">
        <f t="shared" si="15"/>
        <v>5.4447222151364141</v>
      </c>
      <c r="V41" s="482">
        <f t="shared" si="15"/>
        <v>5.139133438554631</v>
      </c>
      <c r="W41" s="482">
        <f t="shared" si="15"/>
        <v>4.8506960420952607</v>
      </c>
      <c r="X41" s="482">
        <f t="shared" si="15"/>
        <v>4.5784473927604754</v>
      </c>
      <c r="Y41" s="482">
        <f t="shared" si="15"/>
        <v>4.3214788859910849</v>
      </c>
      <c r="Z41" s="482">
        <f t="shared" si="15"/>
        <v>4.0789329132832854</v>
      </c>
      <c r="AA41" s="482">
        <f t="shared" si="15"/>
        <v>3.8499999999999992</v>
      </c>
    </row>
    <row r="42" spans="1:27" x14ac:dyDescent="0.2">
      <c r="A42" t="s">
        <v>930</v>
      </c>
      <c r="C42" s="472" t="s">
        <v>17</v>
      </c>
      <c r="D42" s="472" t="s">
        <v>18</v>
      </c>
      <c r="E42" s="472" t="s">
        <v>936</v>
      </c>
      <c r="F42" s="472" t="s">
        <v>20</v>
      </c>
      <c r="G42" s="472" t="s">
        <v>940</v>
      </c>
      <c r="H42" s="472" t="s">
        <v>210</v>
      </c>
      <c r="I42" s="472" t="s">
        <v>211</v>
      </c>
      <c r="J42" s="472" t="s">
        <v>941</v>
      </c>
      <c r="K42" s="472" t="s">
        <v>212</v>
      </c>
      <c r="L42" s="472" t="s">
        <v>942</v>
      </c>
      <c r="M42" s="472" t="s">
        <v>725</v>
      </c>
      <c r="N42" s="472" t="s">
        <v>943</v>
      </c>
      <c r="O42" s="472" t="s">
        <v>734</v>
      </c>
      <c r="P42" s="472" t="s">
        <v>737</v>
      </c>
      <c r="Q42" s="472" t="s">
        <v>944</v>
      </c>
      <c r="R42" s="472" t="s">
        <v>740</v>
      </c>
      <c r="S42" s="472" t="s">
        <v>945</v>
      </c>
      <c r="T42" s="472" t="s">
        <v>744</v>
      </c>
      <c r="U42" s="472" t="s">
        <v>746</v>
      </c>
      <c r="V42" s="472" t="s">
        <v>946</v>
      </c>
      <c r="W42" s="472" t="s">
        <v>749</v>
      </c>
      <c r="X42" s="472" t="s">
        <v>947</v>
      </c>
      <c r="Y42" s="472" t="s">
        <v>887</v>
      </c>
      <c r="Z42" s="472" t="s">
        <v>948</v>
      </c>
      <c r="AA42" s="472" t="s">
        <v>888</v>
      </c>
    </row>
    <row r="43" spans="1:27" x14ac:dyDescent="0.2">
      <c r="A43" t="s">
        <v>931</v>
      </c>
      <c r="B43" t="s">
        <v>917</v>
      </c>
      <c r="C43" s="481">
        <f t="shared" ref="C43:AA43" si="16">((2^(1/12))^(C4+9-49))*440</f>
        <v>493.88330125612413</v>
      </c>
      <c r="D43" s="481">
        <f t="shared" si="16"/>
        <v>523.25113060119736</v>
      </c>
      <c r="E43" s="481">
        <f t="shared" si="16"/>
        <v>554.36526195374415</v>
      </c>
      <c r="F43" s="481">
        <f t="shared" si="16"/>
        <v>587.32953583481515</v>
      </c>
      <c r="G43" s="481">
        <f t="shared" si="16"/>
        <v>622.25396744416184</v>
      </c>
      <c r="H43" s="481">
        <f t="shared" si="16"/>
        <v>659.25511382573995</v>
      </c>
      <c r="I43" s="481">
        <f t="shared" si="16"/>
        <v>698.45646286600777</v>
      </c>
      <c r="J43" s="481">
        <f t="shared" si="16"/>
        <v>739.98884542326891</v>
      </c>
      <c r="K43" s="481">
        <f t="shared" si="16"/>
        <v>783.99087196349865</v>
      </c>
      <c r="L43" s="481">
        <f t="shared" si="16"/>
        <v>830.60939515989048</v>
      </c>
      <c r="M43" s="481">
        <f t="shared" si="16"/>
        <v>880</v>
      </c>
      <c r="N43" s="481">
        <f t="shared" si="16"/>
        <v>932.32752303617985</v>
      </c>
      <c r="O43" s="481">
        <f t="shared" si="16"/>
        <v>987.76660251224848</v>
      </c>
      <c r="P43" s="481">
        <f t="shared" si="16"/>
        <v>1046.5022612023947</v>
      </c>
      <c r="Q43" s="481">
        <f t="shared" si="16"/>
        <v>1108.7305239074885</v>
      </c>
      <c r="R43" s="481">
        <f t="shared" si="16"/>
        <v>1174.6590716696305</v>
      </c>
      <c r="S43" s="481">
        <f t="shared" si="16"/>
        <v>1244.5079348883239</v>
      </c>
      <c r="T43" s="481">
        <f t="shared" si="16"/>
        <v>1318.5102276514801</v>
      </c>
      <c r="U43" s="481">
        <f t="shared" si="16"/>
        <v>1396.9129257320158</v>
      </c>
      <c r="V43" s="481">
        <f t="shared" si="16"/>
        <v>1479.9776908465378</v>
      </c>
      <c r="W43" s="481">
        <f t="shared" si="16"/>
        <v>1567.9817439269975</v>
      </c>
      <c r="X43" s="481">
        <f t="shared" si="16"/>
        <v>1661.2187903197812</v>
      </c>
      <c r="Y43" s="481">
        <f t="shared" si="16"/>
        <v>1760.0000000000005</v>
      </c>
      <c r="Z43" s="481">
        <f t="shared" si="16"/>
        <v>1864.6550460723602</v>
      </c>
      <c r="AA43" s="481">
        <f t="shared" si="16"/>
        <v>1975.533205024497</v>
      </c>
    </row>
    <row r="44" spans="1:27" x14ac:dyDescent="0.2">
      <c r="A44" s="476" t="s">
        <v>106</v>
      </c>
      <c r="B44" t="s">
        <v>906</v>
      </c>
      <c r="C44" s="483"/>
      <c r="D44" s="483"/>
      <c r="E44" s="483"/>
      <c r="F44" s="483"/>
      <c r="G44" s="483"/>
      <c r="H44" s="483"/>
      <c r="I44" s="483"/>
      <c r="J44" s="483"/>
      <c r="K44" s="483"/>
      <c r="L44" s="483"/>
      <c r="M44" s="483"/>
      <c r="N44" s="483"/>
      <c r="O44" s="483"/>
      <c r="P44" s="483"/>
      <c r="Q44" s="483"/>
      <c r="R44" s="483"/>
      <c r="S44" s="483"/>
      <c r="T44" s="483"/>
      <c r="U44" s="483"/>
      <c r="V44" s="483"/>
      <c r="W44" s="483"/>
      <c r="X44" s="483"/>
      <c r="Y44" s="483"/>
      <c r="Z44" s="483"/>
      <c r="AA44" s="483"/>
    </row>
    <row r="45" spans="1:27" x14ac:dyDescent="0.2">
      <c r="A45" t="s">
        <v>932</v>
      </c>
      <c r="B45" t="s">
        <v>906</v>
      </c>
      <c r="C45" s="482">
        <f t="shared" ref="C45:AA45" si="17">C18*C25/C43</f>
        <v>13.719840259361225</v>
      </c>
      <c r="D45" s="482">
        <f t="shared" si="17"/>
        <v>12.949804794907202</v>
      </c>
      <c r="E45" s="482">
        <f t="shared" si="17"/>
        <v>12.222988100155137</v>
      </c>
      <c r="F45" s="482">
        <f t="shared" si="17"/>
        <v>11.536964491950448</v>
      </c>
      <c r="G45" s="482">
        <f t="shared" si="17"/>
        <v>10.889444430272833</v>
      </c>
      <c r="H45" s="482">
        <f t="shared" si="17"/>
        <v>10.278266877109264</v>
      </c>
      <c r="I45" s="482">
        <f t="shared" si="17"/>
        <v>9.701392084190525</v>
      </c>
      <c r="J45" s="482">
        <f t="shared" si="17"/>
        <v>9.1568947855209508</v>
      </c>
      <c r="K45" s="482">
        <f t="shared" si="17"/>
        <v>8.6429577719821715</v>
      </c>
      <c r="L45" s="482">
        <f t="shared" si="17"/>
        <v>8.1578658265665709</v>
      </c>
      <c r="M45" s="482">
        <f t="shared" si="17"/>
        <v>7.7</v>
      </c>
      <c r="N45" s="482">
        <f t="shared" si="17"/>
        <v>7.2678322076490396</v>
      </c>
      <c r="O45" s="482">
        <f t="shared" si="17"/>
        <v>6.8599201296806109</v>
      </c>
      <c r="P45" s="482">
        <f t="shared" si="17"/>
        <v>6.4749023974536009</v>
      </c>
      <c r="Q45" s="482">
        <f t="shared" si="17"/>
        <v>6.1114940500775674</v>
      </c>
      <c r="R45" s="482">
        <f t="shared" si="17"/>
        <v>5.7684822459752221</v>
      </c>
      <c r="S45" s="482">
        <f t="shared" si="17"/>
        <v>5.444722215136415</v>
      </c>
      <c r="T45" s="482">
        <f t="shared" si="17"/>
        <v>5.139133438554631</v>
      </c>
      <c r="U45" s="482">
        <f t="shared" si="17"/>
        <v>4.8506960420952598</v>
      </c>
      <c r="V45" s="482">
        <f t="shared" si="17"/>
        <v>4.5784473927604754</v>
      </c>
      <c r="W45" s="482">
        <f t="shared" si="17"/>
        <v>4.3214788859910849</v>
      </c>
      <c r="X45" s="482">
        <f t="shared" si="17"/>
        <v>4.0789329132832854</v>
      </c>
      <c r="Y45" s="482">
        <f t="shared" si="17"/>
        <v>3.8499999999999992</v>
      </c>
      <c r="Z45" s="482">
        <f t="shared" si="17"/>
        <v>3.6339161038245189</v>
      </c>
      <c r="AA45" s="482">
        <f t="shared" si="17"/>
        <v>3.4299600648403055</v>
      </c>
    </row>
    <row r="46" spans="1:27" x14ac:dyDescent="0.2">
      <c r="A46" t="s">
        <v>933</v>
      </c>
      <c r="C46" s="472" t="s">
        <v>936</v>
      </c>
      <c r="D46" s="472" t="s">
        <v>20</v>
      </c>
      <c r="E46" s="472" t="s">
        <v>940</v>
      </c>
      <c r="F46" s="472" t="s">
        <v>210</v>
      </c>
      <c r="G46" s="472" t="s">
        <v>211</v>
      </c>
      <c r="H46" s="472" t="s">
        <v>941</v>
      </c>
      <c r="I46" s="472" t="s">
        <v>212</v>
      </c>
      <c r="J46" s="472" t="s">
        <v>942</v>
      </c>
      <c r="K46" s="472" t="s">
        <v>725</v>
      </c>
      <c r="L46" s="472" t="s">
        <v>943</v>
      </c>
      <c r="M46" s="472" t="s">
        <v>734</v>
      </c>
      <c r="N46" s="472" t="s">
        <v>737</v>
      </c>
      <c r="O46" s="472" t="s">
        <v>944</v>
      </c>
      <c r="P46" s="472" t="s">
        <v>740</v>
      </c>
      <c r="Q46" s="472" t="s">
        <v>945</v>
      </c>
      <c r="R46" s="472" t="s">
        <v>744</v>
      </c>
      <c r="S46" s="472" t="s">
        <v>746</v>
      </c>
      <c r="T46" s="472" t="s">
        <v>946</v>
      </c>
      <c r="U46" s="472" t="s">
        <v>749</v>
      </c>
      <c r="V46" s="472" t="s">
        <v>947</v>
      </c>
      <c r="W46" s="472" t="s">
        <v>887</v>
      </c>
      <c r="X46" s="472" t="s">
        <v>948</v>
      </c>
      <c r="Y46" s="472" t="s">
        <v>888</v>
      </c>
      <c r="Z46" s="472" t="s">
        <v>889</v>
      </c>
      <c r="AA46" s="472" t="s">
        <v>949</v>
      </c>
    </row>
    <row r="47" spans="1:27" x14ac:dyDescent="0.2">
      <c r="A47" t="s">
        <v>934</v>
      </c>
      <c r="B47" t="s">
        <v>917</v>
      </c>
      <c r="C47" s="481">
        <f t="shared" ref="C47:AA47" si="18">((2^(1/12))^(C4+11-49))*440</f>
        <v>554.36526195374415</v>
      </c>
      <c r="D47" s="481">
        <f t="shared" si="18"/>
        <v>587.32953583481515</v>
      </c>
      <c r="E47" s="481">
        <f t="shared" si="18"/>
        <v>622.25396744416184</v>
      </c>
      <c r="F47" s="481">
        <f t="shared" si="18"/>
        <v>659.25511382573995</v>
      </c>
      <c r="G47" s="481">
        <f t="shared" si="18"/>
        <v>698.45646286600777</v>
      </c>
      <c r="H47" s="481">
        <f t="shared" si="18"/>
        <v>739.98884542326891</v>
      </c>
      <c r="I47" s="481">
        <f t="shared" si="18"/>
        <v>783.99087196349865</v>
      </c>
      <c r="J47" s="481">
        <f t="shared" si="18"/>
        <v>830.60939515989048</v>
      </c>
      <c r="K47" s="481">
        <f t="shared" si="18"/>
        <v>880</v>
      </c>
      <c r="L47" s="481">
        <f t="shared" si="18"/>
        <v>932.32752303617985</v>
      </c>
      <c r="M47" s="481">
        <f t="shared" si="18"/>
        <v>987.76660251224848</v>
      </c>
      <c r="N47" s="481">
        <f t="shared" si="18"/>
        <v>1046.5022612023947</v>
      </c>
      <c r="O47" s="481">
        <f t="shared" si="18"/>
        <v>1108.7305239074885</v>
      </c>
      <c r="P47" s="481">
        <f t="shared" si="18"/>
        <v>1174.6590716696305</v>
      </c>
      <c r="Q47" s="481">
        <f t="shared" si="18"/>
        <v>1244.5079348883239</v>
      </c>
      <c r="R47" s="481">
        <f t="shared" si="18"/>
        <v>1318.5102276514801</v>
      </c>
      <c r="S47" s="481">
        <f t="shared" si="18"/>
        <v>1396.9129257320158</v>
      </c>
      <c r="T47" s="481">
        <f t="shared" si="18"/>
        <v>1479.9776908465378</v>
      </c>
      <c r="U47" s="481">
        <f t="shared" si="18"/>
        <v>1567.9817439269975</v>
      </c>
      <c r="V47" s="481">
        <f t="shared" si="18"/>
        <v>1661.2187903197812</v>
      </c>
      <c r="W47" s="481">
        <f t="shared" si="18"/>
        <v>1760.0000000000005</v>
      </c>
      <c r="X47" s="481">
        <f t="shared" si="18"/>
        <v>1864.6550460723602</v>
      </c>
      <c r="Y47" s="481">
        <f t="shared" si="18"/>
        <v>1975.533205024497</v>
      </c>
      <c r="Z47" s="481">
        <f t="shared" si="18"/>
        <v>2093.0045224047904</v>
      </c>
      <c r="AA47" s="481">
        <f t="shared" si="18"/>
        <v>2217.4610478149771</v>
      </c>
    </row>
    <row r="48" spans="1:27" x14ac:dyDescent="0.2">
      <c r="A48" s="476" t="s">
        <v>108</v>
      </c>
      <c r="B48" t="s">
        <v>906</v>
      </c>
      <c r="C48" s="483"/>
      <c r="D48" s="483"/>
      <c r="E48" s="483"/>
      <c r="F48" s="483"/>
      <c r="G48" s="483"/>
      <c r="H48" s="483"/>
      <c r="I48" s="483"/>
      <c r="J48" s="483"/>
      <c r="K48" s="483"/>
      <c r="L48" s="483"/>
      <c r="M48" s="483"/>
      <c r="N48" s="483"/>
      <c r="O48" s="483"/>
      <c r="P48" s="483"/>
      <c r="Q48" s="483"/>
      <c r="R48" s="483"/>
      <c r="S48" s="483"/>
      <c r="T48" s="483"/>
      <c r="U48" s="483"/>
      <c r="V48" s="483"/>
      <c r="W48" s="483"/>
      <c r="X48" s="483"/>
      <c r="Y48" s="483"/>
      <c r="Z48" s="483"/>
      <c r="AA48" s="483"/>
    </row>
    <row r="49" spans="1:27" x14ac:dyDescent="0.2">
      <c r="A49" t="s">
        <v>935</v>
      </c>
      <c r="B49" t="s">
        <v>906</v>
      </c>
      <c r="C49" s="482">
        <f t="shared" ref="C49:AA49" si="19">C18*C25/C47</f>
        <v>12.222988100155137</v>
      </c>
      <c r="D49" s="482">
        <f t="shared" si="19"/>
        <v>11.536964491950448</v>
      </c>
      <c r="E49" s="482">
        <f t="shared" si="19"/>
        <v>10.889444430272832</v>
      </c>
      <c r="F49" s="482">
        <f t="shared" si="19"/>
        <v>10.278266877109264</v>
      </c>
      <c r="G49" s="482">
        <f t="shared" si="19"/>
        <v>9.701392084190525</v>
      </c>
      <c r="H49" s="482">
        <f t="shared" si="19"/>
        <v>9.1568947855209526</v>
      </c>
      <c r="I49" s="482">
        <f t="shared" si="19"/>
        <v>8.6429577719821733</v>
      </c>
      <c r="J49" s="482">
        <f t="shared" si="19"/>
        <v>8.1578658265665709</v>
      </c>
      <c r="K49" s="482">
        <f t="shared" si="19"/>
        <v>7.7</v>
      </c>
      <c r="L49" s="482">
        <f t="shared" si="19"/>
        <v>7.2678322076490396</v>
      </c>
      <c r="M49" s="482">
        <f t="shared" si="19"/>
        <v>6.8599201296806109</v>
      </c>
      <c r="N49" s="482">
        <f t="shared" si="19"/>
        <v>6.4749023974536009</v>
      </c>
      <c r="O49" s="482">
        <f t="shared" si="19"/>
        <v>6.1114940500775674</v>
      </c>
      <c r="P49" s="482">
        <f t="shared" si="19"/>
        <v>5.7684822459752221</v>
      </c>
      <c r="Q49" s="482">
        <f t="shared" si="19"/>
        <v>5.444722215136415</v>
      </c>
      <c r="R49" s="482">
        <f t="shared" si="19"/>
        <v>5.139133438554631</v>
      </c>
      <c r="S49" s="482">
        <f t="shared" si="19"/>
        <v>4.8506960420952607</v>
      </c>
      <c r="T49" s="482">
        <f t="shared" si="19"/>
        <v>4.5784473927604754</v>
      </c>
      <c r="U49" s="482">
        <f t="shared" si="19"/>
        <v>4.3214788859910849</v>
      </c>
      <c r="V49" s="482">
        <f t="shared" si="19"/>
        <v>4.0789329132832854</v>
      </c>
      <c r="W49" s="482">
        <f t="shared" si="19"/>
        <v>3.8499999999999992</v>
      </c>
      <c r="X49" s="482">
        <f t="shared" si="19"/>
        <v>3.6339161038245189</v>
      </c>
      <c r="Y49" s="482">
        <f t="shared" si="19"/>
        <v>3.4299600648403055</v>
      </c>
      <c r="Z49" s="482">
        <f t="shared" si="19"/>
        <v>3.2374511987267991</v>
      </c>
      <c r="AA49" s="482">
        <f t="shared" si="19"/>
        <v>3.0557470250387837</v>
      </c>
    </row>
    <row r="52" spans="1:27" ht="18" x14ac:dyDescent="0.25">
      <c r="A52" s="833" t="s">
        <v>6646</v>
      </c>
    </row>
    <row r="53" spans="1:27" x14ac:dyDescent="0.2">
      <c r="A53" s="734" t="s">
        <v>6647</v>
      </c>
    </row>
    <row r="55" spans="1:27" x14ac:dyDescent="0.2">
      <c r="A55" s="609" t="s">
        <v>6355</v>
      </c>
    </row>
    <row r="56" spans="1:27" x14ac:dyDescent="0.2">
      <c r="A56" t="s">
        <v>6648</v>
      </c>
    </row>
    <row r="57" spans="1:27" x14ac:dyDescent="0.2">
      <c r="A57" t="s">
        <v>6649</v>
      </c>
    </row>
    <row r="58" spans="1:27" x14ac:dyDescent="0.2">
      <c r="A58" t="s">
        <v>6650</v>
      </c>
    </row>
    <row r="60" spans="1:27" x14ac:dyDescent="0.2">
      <c r="A60" s="609" t="s">
        <v>6359</v>
      </c>
    </row>
    <row r="61" spans="1:27" x14ac:dyDescent="0.2">
      <c r="A61" t="s">
        <v>6651</v>
      </c>
    </row>
    <row r="62" spans="1:27" x14ac:dyDescent="0.2">
      <c r="A62" t="s">
        <v>6652</v>
      </c>
    </row>
    <row r="63" spans="1:27" x14ac:dyDescent="0.2">
      <c r="A63" t="s">
        <v>6653</v>
      </c>
    </row>
    <row r="65" spans="1:1" x14ac:dyDescent="0.2">
      <c r="A65" s="609" t="s">
        <v>6654</v>
      </c>
    </row>
    <row r="66" spans="1:1" x14ac:dyDescent="0.2">
      <c r="A66" t="s">
        <v>6655</v>
      </c>
    </row>
    <row r="67" spans="1:1" x14ac:dyDescent="0.2">
      <c r="A67" t="s">
        <v>6656</v>
      </c>
    </row>
    <row r="68" spans="1:1" x14ac:dyDescent="0.2">
      <c r="A68" t="s">
        <v>6657</v>
      </c>
    </row>
    <row r="70" spans="1:1" x14ac:dyDescent="0.2">
      <c r="A70" s="609" t="s">
        <v>6658</v>
      </c>
    </row>
    <row r="71" spans="1:1" x14ac:dyDescent="0.2">
      <c r="A71" t="s">
        <v>6659</v>
      </c>
    </row>
    <row r="72" spans="1:1" x14ac:dyDescent="0.2">
      <c r="A72" t="s">
        <v>6660</v>
      </c>
    </row>
    <row r="74" spans="1:1" x14ac:dyDescent="0.2">
      <c r="A74" s="609" t="s">
        <v>6661</v>
      </c>
    </row>
    <row r="75" spans="1:1" x14ac:dyDescent="0.2">
      <c r="A75" t="s">
        <v>6662</v>
      </c>
    </row>
    <row r="76" spans="1:1" x14ac:dyDescent="0.2">
      <c r="A76" t="s">
        <v>6663</v>
      </c>
    </row>
    <row r="77" spans="1:1" x14ac:dyDescent="0.2">
      <c r="A77" t="s">
        <v>6664</v>
      </c>
    </row>
    <row r="79" spans="1:1" x14ac:dyDescent="0.2">
      <c r="A79" s="609" t="s">
        <v>6665</v>
      </c>
    </row>
    <row r="80" spans="1:1" x14ac:dyDescent="0.2">
      <c r="A80" t="s">
        <v>6666</v>
      </c>
    </row>
    <row r="83" spans="1:1" ht="18" x14ac:dyDescent="0.25">
      <c r="A83" s="838" t="s">
        <v>7210</v>
      </c>
    </row>
    <row r="84" spans="1:1" x14ac:dyDescent="0.2">
      <c r="A84" s="734" t="s">
        <v>7131</v>
      </c>
    </row>
    <row r="86" spans="1:1" x14ac:dyDescent="0.2">
      <c r="A86" s="839" t="s">
        <v>7132</v>
      </c>
    </row>
    <row r="87" spans="1:1" x14ac:dyDescent="0.2">
      <c r="A87" t="s">
        <v>7211</v>
      </c>
    </row>
    <row r="88" spans="1:1" x14ac:dyDescent="0.2">
      <c r="A88" t="s">
        <v>7212</v>
      </c>
    </row>
    <row r="89" spans="1:1" x14ac:dyDescent="0.2">
      <c r="A89" t="s">
        <v>7213</v>
      </c>
    </row>
    <row r="90" spans="1:1" x14ac:dyDescent="0.2">
      <c r="A90" t="s">
        <v>7214</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2FB8A-682F-433F-AD0A-39C58EA64E1C}">
  <dimension ref="A1:AA103"/>
  <sheetViews>
    <sheetView workbookViewId="0"/>
  </sheetViews>
  <sheetFormatPr defaultRowHeight="12.75" x14ac:dyDescent="0.2"/>
  <cols>
    <col min="1" max="1" width="137.140625" customWidth="1"/>
    <col min="2" max="2" width="7.5703125" customWidth="1"/>
    <col min="3" max="27" width="12.42578125" customWidth="1"/>
  </cols>
  <sheetData>
    <row r="1" spans="1:27" ht="18" x14ac:dyDescent="0.25">
      <c r="A1" s="470" t="s">
        <v>950</v>
      </c>
      <c r="C1" s="472" t="s">
        <v>903</v>
      </c>
    </row>
    <row r="2" spans="1:27" x14ac:dyDescent="0.2">
      <c r="A2" s="471" t="s">
        <v>203</v>
      </c>
      <c r="B2" s="471" t="s">
        <v>902</v>
      </c>
      <c r="C2" s="473">
        <v>40</v>
      </c>
      <c r="D2" s="473">
        <v>41</v>
      </c>
      <c r="E2" s="473">
        <v>42</v>
      </c>
      <c r="F2" s="473">
        <v>43</v>
      </c>
      <c r="G2" s="473">
        <v>44</v>
      </c>
      <c r="H2" s="473">
        <v>45</v>
      </c>
      <c r="I2" s="473">
        <v>46</v>
      </c>
      <c r="J2" s="473">
        <v>47</v>
      </c>
      <c r="K2" s="473">
        <v>48</v>
      </c>
      <c r="L2" s="473">
        <v>49</v>
      </c>
      <c r="M2" s="473">
        <v>50</v>
      </c>
      <c r="N2" s="473">
        <v>51</v>
      </c>
      <c r="O2" s="473">
        <v>52</v>
      </c>
      <c r="P2" s="473">
        <v>53</v>
      </c>
      <c r="Q2" s="473">
        <v>54</v>
      </c>
      <c r="R2" s="473">
        <v>55</v>
      </c>
      <c r="S2" s="473">
        <v>56</v>
      </c>
      <c r="T2" s="473">
        <v>57</v>
      </c>
      <c r="U2" s="473">
        <v>58</v>
      </c>
      <c r="V2" s="473">
        <v>59</v>
      </c>
      <c r="W2" s="473">
        <v>60</v>
      </c>
      <c r="X2" s="473">
        <v>61</v>
      </c>
      <c r="Y2" s="473">
        <v>62</v>
      </c>
      <c r="Z2" s="473">
        <v>63</v>
      </c>
      <c r="AA2" s="473">
        <v>64</v>
      </c>
    </row>
    <row r="3" spans="1:27" x14ac:dyDescent="0.2">
      <c r="A3" s="472" t="s">
        <v>904</v>
      </c>
      <c r="C3" s="472" t="s">
        <v>6</v>
      </c>
      <c r="D3" s="472" t="s">
        <v>7</v>
      </c>
      <c r="E3" s="472" t="s">
        <v>8</v>
      </c>
      <c r="F3" s="472" t="s">
        <v>9</v>
      </c>
      <c r="G3" s="472" t="s">
        <v>10</v>
      </c>
      <c r="H3" s="472" t="s">
        <v>240</v>
      </c>
      <c r="I3" s="472" t="s">
        <v>12</v>
      </c>
      <c r="J3" s="472" t="s">
        <v>13</v>
      </c>
      <c r="K3" s="472" t="s">
        <v>14</v>
      </c>
      <c r="L3" s="472" t="s">
        <v>15</v>
      </c>
      <c r="M3" s="472" t="s">
        <v>16</v>
      </c>
      <c r="N3" s="472" t="s">
        <v>17</v>
      </c>
      <c r="O3" s="472" t="s">
        <v>18</v>
      </c>
      <c r="P3" s="472" t="s">
        <v>19</v>
      </c>
      <c r="Q3" s="472" t="s">
        <v>20</v>
      </c>
      <c r="R3" s="472" t="s">
        <v>35</v>
      </c>
      <c r="S3" s="472" t="s">
        <v>210</v>
      </c>
      <c r="T3" s="472" t="s">
        <v>211</v>
      </c>
      <c r="U3" s="472" t="s">
        <v>45</v>
      </c>
      <c r="V3" s="472" t="s">
        <v>212</v>
      </c>
      <c r="W3" s="472" t="s">
        <v>213</v>
      </c>
      <c r="X3" s="472" t="s">
        <v>725</v>
      </c>
      <c r="Y3" s="472" t="s">
        <v>53</v>
      </c>
      <c r="Z3" s="472" t="s">
        <v>734</v>
      </c>
      <c r="AA3" s="472" t="s">
        <v>737</v>
      </c>
    </row>
    <row r="4" spans="1:27" x14ac:dyDescent="0.2">
      <c r="A4" t="s">
        <v>1</v>
      </c>
      <c r="C4">
        <v>40</v>
      </c>
      <c r="D4">
        <v>41</v>
      </c>
      <c r="E4">
        <v>42</v>
      </c>
      <c r="F4">
        <v>43</v>
      </c>
      <c r="G4">
        <v>44</v>
      </c>
      <c r="H4">
        <v>45</v>
      </c>
      <c r="I4">
        <v>46</v>
      </c>
      <c r="J4">
        <v>47</v>
      </c>
      <c r="K4">
        <v>48</v>
      </c>
      <c r="L4">
        <v>49</v>
      </c>
      <c r="M4">
        <v>50</v>
      </c>
      <c r="N4">
        <v>51</v>
      </c>
      <c r="O4">
        <v>52</v>
      </c>
      <c r="P4">
        <v>53</v>
      </c>
      <c r="Q4">
        <v>54</v>
      </c>
      <c r="R4">
        <v>55</v>
      </c>
      <c r="S4">
        <v>56</v>
      </c>
      <c r="T4">
        <v>57</v>
      </c>
      <c r="U4">
        <v>58</v>
      </c>
      <c r="V4">
        <v>59</v>
      </c>
      <c r="W4">
        <v>60</v>
      </c>
      <c r="X4">
        <v>61</v>
      </c>
      <c r="Y4">
        <v>62</v>
      </c>
      <c r="Z4">
        <v>63</v>
      </c>
      <c r="AA4">
        <v>64</v>
      </c>
    </row>
    <row r="5" spans="1:27" x14ac:dyDescent="0.2">
      <c r="A5" s="474"/>
      <c r="B5" s="474"/>
      <c r="C5" s="474"/>
      <c r="D5" s="474"/>
      <c r="E5" s="474"/>
      <c r="F5" s="474"/>
      <c r="G5" s="474"/>
      <c r="H5" s="474"/>
      <c r="I5" s="474"/>
      <c r="J5" s="474"/>
      <c r="K5" s="474"/>
      <c r="L5" s="474"/>
      <c r="M5" s="474"/>
      <c r="N5" s="474"/>
      <c r="O5" s="474"/>
      <c r="P5" s="474"/>
      <c r="Q5" s="474"/>
      <c r="R5" s="474"/>
      <c r="S5" s="474"/>
      <c r="T5" s="474"/>
      <c r="U5" s="474"/>
      <c r="V5" s="474"/>
      <c r="W5" s="474"/>
      <c r="X5" s="474"/>
      <c r="Y5" s="474"/>
      <c r="Z5" s="474"/>
      <c r="AA5" s="474"/>
    </row>
    <row r="6" spans="1:27" x14ac:dyDescent="0.2">
      <c r="A6" s="475" t="s">
        <v>905</v>
      </c>
      <c r="B6" s="474"/>
      <c r="C6" s="474"/>
      <c r="D6" s="474"/>
      <c r="E6" s="474"/>
      <c r="F6" s="474"/>
      <c r="G6" s="474"/>
      <c r="H6" s="474"/>
      <c r="I6" s="474"/>
      <c r="J6" s="474"/>
      <c r="K6" s="474"/>
      <c r="L6" s="474"/>
      <c r="M6" s="474"/>
      <c r="N6" s="474"/>
      <c r="O6" s="474"/>
      <c r="P6" s="474"/>
      <c r="Q6" s="474"/>
      <c r="R6" s="474"/>
      <c r="S6" s="474"/>
      <c r="T6" s="474"/>
      <c r="U6" s="474"/>
      <c r="V6" s="474"/>
      <c r="W6" s="474"/>
      <c r="X6" s="474"/>
      <c r="Y6" s="474"/>
      <c r="Z6" s="474"/>
      <c r="AA6" s="474"/>
    </row>
    <row r="7" spans="1:27" x14ac:dyDescent="0.2">
      <c r="A7" t="s">
        <v>215</v>
      </c>
      <c r="B7" t="s">
        <v>906</v>
      </c>
      <c r="C7" s="482">
        <f t="shared" ref="C7:AA7" si="0">C21+C16</f>
        <v>26.17740958981441</v>
      </c>
      <c r="D7" s="482">
        <f t="shared" si="0"/>
        <v>24.723776200310272</v>
      </c>
      <c r="E7" s="482">
        <f t="shared" si="0"/>
        <v>23.351728983900898</v>
      </c>
      <c r="F7" s="482">
        <f t="shared" si="0"/>
        <v>22.056688860545666</v>
      </c>
      <c r="G7" s="482">
        <f t="shared" si="0"/>
        <v>20.83433375421853</v>
      </c>
      <c r="H7" s="482">
        <f t="shared" si="0"/>
        <v>19.751384168381048</v>
      </c>
      <c r="I7" s="482">
        <f t="shared" si="0"/>
        <v>18.66238957104191</v>
      </c>
      <c r="J7" s="482">
        <f t="shared" si="0"/>
        <v>17.634515543964348</v>
      </c>
      <c r="K7" s="482">
        <f t="shared" si="0"/>
        <v>16.664331653133146</v>
      </c>
      <c r="L7" s="482">
        <f t="shared" si="0"/>
        <v>15.7486</v>
      </c>
      <c r="M7" s="482">
        <f t="shared" si="0"/>
        <v>14.955064415298079</v>
      </c>
      <c r="N7" s="482">
        <f t="shared" si="0"/>
        <v>14.139240259361225</v>
      </c>
      <c r="O7" s="482">
        <f t="shared" si="0"/>
        <v>13.369204794907201</v>
      </c>
      <c r="P7" s="482">
        <f t="shared" si="0"/>
        <v>12.642388100155136</v>
      </c>
      <c r="Q7" s="482">
        <f t="shared" si="0"/>
        <v>11.956364491950447</v>
      </c>
      <c r="R7" s="482">
        <f t="shared" si="0"/>
        <v>11.356244430272831</v>
      </c>
      <c r="S7" s="482">
        <f t="shared" si="0"/>
        <v>10.745066877109263</v>
      </c>
      <c r="T7" s="482">
        <f t="shared" si="0"/>
        <v>10.168192084190522</v>
      </c>
      <c r="U7" s="482">
        <f t="shared" si="0"/>
        <v>9.62369478552095</v>
      </c>
      <c r="V7" s="482">
        <f t="shared" si="0"/>
        <v>9.1097577719821707</v>
      </c>
      <c r="W7" s="482">
        <f t="shared" si="0"/>
        <v>8.6714658265665712</v>
      </c>
      <c r="X7" s="482">
        <f t="shared" si="0"/>
        <v>8.2135999999999996</v>
      </c>
      <c r="Y7" s="482">
        <f t="shared" si="0"/>
        <v>7.7814322076490399</v>
      </c>
      <c r="Z7" s="482">
        <f t="shared" si="0"/>
        <v>7.3735201296806112</v>
      </c>
      <c r="AA7" s="482">
        <f t="shared" si="0"/>
        <v>6.9885023974536011</v>
      </c>
    </row>
    <row r="8" spans="1:27" x14ac:dyDescent="0.2">
      <c r="A8" t="s">
        <v>216</v>
      </c>
      <c r="B8" t="s">
        <v>906</v>
      </c>
      <c r="C8" s="482">
        <f t="shared" ref="C8:AA8" si="1">C12+0.25</f>
        <v>1.5089999999999999</v>
      </c>
      <c r="D8" s="482">
        <f t="shared" si="1"/>
        <v>1.5089999999999999</v>
      </c>
      <c r="E8" s="482">
        <f t="shared" si="1"/>
        <v>1.5089999999999999</v>
      </c>
      <c r="F8" s="482">
        <f t="shared" si="1"/>
        <v>1.5089999999999999</v>
      </c>
      <c r="G8" s="482">
        <f t="shared" si="1"/>
        <v>1.5089999999999999</v>
      </c>
      <c r="H8" s="482">
        <f t="shared" si="1"/>
        <v>1.3130000000000002</v>
      </c>
      <c r="I8" s="482">
        <f t="shared" si="1"/>
        <v>1.3130000000000002</v>
      </c>
      <c r="J8" s="482">
        <f t="shared" si="1"/>
        <v>1.3130000000000002</v>
      </c>
      <c r="K8" s="482">
        <f t="shared" si="1"/>
        <v>1.3130000000000002</v>
      </c>
      <c r="L8" s="482">
        <f t="shared" si="1"/>
        <v>1.3130000000000002</v>
      </c>
      <c r="M8" s="482">
        <f t="shared" si="1"/>
        <v>1.155</v>
      </c>
      <c r="N8" s="482">
        <f t="shared" si="1"/>
        <v>1.155</v>
      </c>
      <c r="O8" s="482">
        <f t="shared" si="1"/>
        <v>1.155</v>
      </c>
      <c r="P8" s="482">
        <f t="shared" si="1"/>
        <v>1.155</v>
      </c>
      <c r="Q8" s="482">
        <f t="shared" si="1"/>
        <v>1.155</v>
      </c>
      <c r="R8" s="482">
        <f t="shared" si="1"/>
        <v>1.036</v>
      </c>
      <c r="S8" s="482">
        <f t="shared" si="1"/>
        <v>1.036</v>
      </c>
      <c r="T8" s="482">
        <f t="shared" si="1"/>
        <v>1.036</v>
      </c>
      <c r="U8" s="482">
        <f t="shared" si="1"/>
        <v>1.036</v>
      </c>
      <c r="V8" s="482">
        <f t="shared" si="1"/>
        <v>1.036</v>
      </c>
      <c r="W8" s="482">
        <f t="shared" si="1"/>
        <v>0.92</v>
      </c>
      <c r="X8" s="482">
        <f t="shared" si="1"/>
        <v>0.92</v>
      </c>
      <c r="Y8" s="482">
        <f t="shared" si="1"/>
        <v>0.92</v>
      </c>
      <c r="Z8" s="482">
        <f t="shared" si="1"/>
        <v>0.92</v>
      </c>
      <c r="AA8" s="482">
        <f t="shared" si="1"/>
        <v>0.92</v>
      </c>
    </row>
    <row r="9" spans="1:27" x14ac:dyDescent="0.2">
      <c r="A9" t="s">
        <v>217</v>
      </c>
      <c r="B9" t="s">
        <v>906</v>
      </c>
      <c r="C9" s="482">
        <f t="shared" ref="C9:AA9" si="2">C12+0.25</f>
        <v>1.5089999999999999</v>
      </c>
      <c r="D9" s="482">
        <f t="shared" si="2"/>
        <v>1.5089999999999999</v>
      </c>
      <c r="E9" s="482">
        <f t="shared" si="2"/>
        <v>1.5089999999999999</v>
      </c>
      <c r="F9" s="482">
        <f t="shared" si="2"/>
        <v>1.5089999999999999</v>
      </c>
      <c r="G9" s="482">
        <f t="shared" si="2"/>
        <v>1.5089999999999999</v>
      </c>
      <c r="H9" s="482">
        <f t="shared" si="2"/>
        <v>1.3130000000000002</v>
      </c>
      <c r="I9" s="482">
        <f t="shared" si="2"/>
        <v>1.3130000000000002</v>
      </c>
      <c r="J9" s="482">
        <f t="shared" si="2"/>
        <v>1.3130000000000002</v>
      </c>
      <c r="K9" s="482">
        <f t="shared" si="2"/>
        <v>1.3130000000000002</v>
      </c>
      <c r="L9" s="482">
        <f t="shared" si="2"/>
        <v>1.3130000000000002</v>
      </c>
      <c r="M9" s="482">
        <f t="shared" si="2"/>
        <v>1.155</v>
      </c>
      <c r="N9" s="482">
        <f t="shared" si="2"/>
        <v>1.155</v>
      </c>
      <c r="O9" s="482">
        <f t="shared" si="2"/>
        <v>1.155</v>
      </c>
      <c r="P9" s="482">
        <f t="shared" si="2"/>
        <v>1.155</v>
      </c>
      <c r="Q9" s="482">
        <f t="shared" si="2"/>
        <v>1.155</v>
      </c>
      <c r="R9" s="482">
        <f t="shared" si="2"/>
        <v>1.036</v>
      </c>
      <c r="S9" s="482">
        <f t="shared" si="2"/>
        <v>1.036</v>
      </c>
      <c r="T9" s="482">
        <f t="shared" si="2"/>
        <v>1.036</v>
      </c>
      <c r="U9" s="482">
        <f t="shared" si="2"/>
        <v>1.036</v>
      </c>
      <c r="V9" s="482">
        <f t="shared" si="2"/>
        <v>1.036</v>
      </c>
      <c r="W9" s="482">
        <f t="shared" si="2"/>
        <v>0.92</v>
      </c>
      <c r="X9" s="482">
        <f t="shared" si="2"/>
        <v>0.92</v>
      </c>
      <c r="Y9" s="482">
        <f t="shared" si="2"/>
        <v>0.92</v>
      </c>
      <c r="Z9" s="482">
        <f t="shared" si="2"/>
        <v>0.92</v>
      </c>
      <c r="AA9" s="482">
        <f t="shared" si="2"/>
        <v>0.92</v>
      </c>
    </row>
    <row r="10" spans="1:27" x14ac:dyDescent="0.2">
      <c r="A10" s="476" t="s">
        <v>80</v>
      </c>
      <c r="B10" t="s">
        <v>906</v>
      </c>
      <c r="C10" s="483">
        <v>0.78700000000000003</v>
      </c>
      <c r="D10" s="483">
        <v>0.78700000000000003</v>
      </c>
      <c r="E10" s="483">
        <v>0.78700000000000003</v>
      </c>
      <c r="F10" s="483">
        <v>0.78700000000000003</v>
      </c>
      <c r="G10" s="483">
        <v>0.78700000000000003</v>
      </c>
      <c r="H10" s="483">
        <v>0.66900000000000004</v>
      </c>
      <c r="I10" s="483">
        <v>0.66900000000000004</v>
      </c>
      <c r="J10" s="483">
        <v>0.66900000000000004</v>
      </c>
      <c r="K10" s="483">
        <v>0.66900000000000004</v>
      </c>
      <c r="L10" s="483">
        <v>0.66900000000000004</v>
      </c>
      <c r="M10" s="483">
        <v>0.55100000000000005</v>
      </c>
      <c r="N10" s="483">
        <v>0.55100000000000005</v>
      </c>
      <c r="O10" s="483">
        <v>0.55100000000000005</v>
      </c>
      <c r="P10" s="483">
        <v>0.55100000000000005</v>
      </c>
      <c r="Q10" s="483">
        <v>0.55100000000000005</v>
      </c>
      <c r="R10" s="483">
        <v>0.47199999999999998</v>
      </c>
      <c r="S10" s="483">
        <v>0.47199999999999998</v>
      </c>
      <c r="T10" s="483">
        <v>0.47199999999999998</v>
      </c>
      <c r="U10" s="483">
        <v>0.47199999999999998</v>
      </c>
      <c r="V10" s="483">
        <v>0.47199999999999998</v>
      </c>
      <c r="W10" s="483">
        <v>0.39400000000000002</v>
      </c>
      <c r="X10" s="483">
        <v>0.39400000000000002</v>
      </c>
      <c r="Y10" s="483">
        <v>0.39400000000000002</v>
      </c>
      <c r="Z10" s="483">
        <v>0.39400000000000002</v>
      </c>
      <c r="AA10" s="483">
        <v>0.39400000000000002</v>
      </c>
    </row>
    <row r="11" spans="1:27" x14ac:dyDescent="0.2">
      <c r="A11" s="476" t="s">
        <v>226</v>
      </c>
      <c r="B11" t="s">
        <v>906</v>
      </c>
      <c r="C11" s="483">
        <v>0.23599999999999999</v>
      </c>
      <c r="D11" s="483">
        <v>0.23599999999999999</v>
      </c>
      <c r="E11" s="483">
        <v>0.23599999999999999</v>
      </c>
      <c r="F11" s="483">
        <v>0.23599999999999999</v>
      </c>
      <c r="G11" s="483">
        <v>0.23599999999999999</v>
      </c>
      <c r="H11" s="483">
        <v>0.19700000000000001</v>
      </c>
      <c r="I11" s="483">
        <v>0.19700000000000001</v>
      </c>
      <c r="J11" s="483">
        <v>0.19700000000000001</v>
      </c>
      <c r="K11" s="483">
        <v>0.19700000000000001</v>
      </c>
      <c r="L11" s="483">
        <v>0.19700000000000001</v>
      </c>
      <c r="M11" s="483">
        <v>0.17699999999999999</v>
      </c>
      <c r="N11" s="483">
        <v>0.17699999999999999</v>
      </c>
      <c r="O11" s="483">
        <v>0.17699999999999999</v>
      </c>
      <c r="P11" s="483">
        <v>0.17699999999999999</v>
      </c>
      <c r="Q11" s="483">
        <v>0.17699999999999999</v>
      </c>
      <c r="R11" s="483">
        <v>0.157</v>
      </c>
      <c r="S11" s="483">
        <v>0.157</v>
      </c>
      <c r="T11" s="483">
        <v>0.157</v>
      </c>
      <c r="U11" s="483">
        <v>0.157</v>
      </c>
      <c r="V11" s="483">
        <v>0.157</v>
      </c>
      <c r="W11" s="483">
        <v>0.13800000000000001</v>
      </c>
      <c r="X11" s="483">
        <v>0.13800000000000001</v>
      </c>
      <c r="Y11" s="483">
        <v>0.13800000000000001</v>
      </c>
      <c r="Z11" s="483">
        <v>0.13800000000000001</v>
      </c>
      <c r="AA11" s="483">
        <v>0.13800000000000001</v>
      </c>
    </row>
    <row r="12" spans="1:27" x14ac:dyDescent="0.2">
      <c r="A12" t="s">
        <v>907</v>
      </c>
      <c r="B12" t="s">
        <v>906</v>
      </c>
      <c r="C12" s="482">
        <f t="shared" ref="C12:AA12" si="3">C10+2*C11</f>
        <v>1.2589999999999999</v>
      </c>
      <c r="D12" s="482">
        <f t="shared" si="3"/>
        <v>1.2589999999999999</v>
      </c>
      <c r="E12" s="482">
        <f t="shared" si="3"/>
        <v>1.2589999999999999</v>
      </c>
      <c r="F12" s="482">
        <f t="shared" si="3"/>
        <v>1.2589999999999999</v>
      </c>
      <c r="G12" s="482">
        <f t="shared" si="3"/>
        <v>1.2589999999999999</v>
      </c>
      <c r="H12" s="482">
        <f t="shared" si="3"/>
        <v>1.0630000000000002</v>
      </c>
      <c r="I12" s="482">
        <f t="shared" si="3"/>
        <v>1.0630000000000002</v>
      </c>
      <c r="J12" s="482">
        <f t="shared" si="3"/>
        <v>1.0630000000000002</v>
      </c>
      <c r="K12" s="482">
        <f t="shared" si="3"/>
        <v>1.0630000000000002</v>
      </c>
      <c r="L12" s="482">
        <f t="shared" si="3"/>
        <v>1.0630000000000002</v>
      </c>
      <c r="M12" s="482">
        <f t="shared" si="3"/>
        <v>0.90500000000000003</v>
      </c>
      <c r="N12" s="482">
        <f t="shared" si="3"/>
        <v>0.90500000000000003</v>
      </c>
      <c r="O12" s="482">
        <f t="shared" si="3"/>
        <v>0.90500000000000003</v>
      </c>
      <c r="P12" s="482">
        <f t="shared" si="3"/>
        <v>0.90500000000000003</v>
      </c>
      <c r="Q12" s="482">
        <f t="shared" si="3"/>
        <v>0.90500000000000003</v>
      </c>
      <c r="R12" s="482">
        <f t="shared" si="3"/>
        <v>0.78600000000000003</v>
      </c>
      <c r="S12" s="482">
        <f t="shared" si="3"/>
        <v>0.78600000000000003</v>
      </c>
      <c r="T12" s="482">
        <f t="shared" si="3"/>
        <v>0.78600000000000003</v>
      </c>
      <c r="U12" s="482">
        <f t="shared" si="3"/>
        <v>0.78600000000000003</v>
      </c>
      <c r="V12" s="482">
        <f t="shared" si="3"/>
        <v>0.78600000000000003</v>
      </c>
      <c r="W12" s="482">
        <f t="shared" si="3"/>
        <v>0.67</v>
      </c>
      <c r="X12" s="482">
        <f t="shared" si="3"/>
        <v>0.67</v>
      </c>
      <c r="Y12" s="482">
        <f t="shared" si="3"/>
        <v>0.67</v>
      </c>
      <c r="Z12" s="482">
        <f t="shared" si="3"/>
        <v>0.67</v>
      </c>
      <c r="AA12" s="482">
        <f t="shared" si="3"/>
        <v>0.67</v>
      </c>
    </row>
    <row r="13" spans="1:27" x14ac:dyDescent="0.2">
      <c r="A13" s="476" t="s">
        <v>951</v>
      </c>
      <c r="B13" t="s">
        <v>906</v>
      </c>
      <c r="C13" s="483">
        <v>0.78700000000000003</v>
      </c>
      <c r="D13" s="483">
        <v>0.78700000000000003</v>
      </c>
      <c r="E13" s="483">
        <v>0.78700000000000003</v>
      </c>
      <c r="F13" s="483">
        <v>0.78700000000000003</v>
      </c>
      <c r="G13" s="483">
        <v>0.78700000000000003</v>
      </c>
      <c r="H13" s="483">
        <v>0.66900000000000004</v>
      </c>
      <c r="I13" s="483">
        <v>0.66900000000000004</v>
      </c>
      <c r="J13" s="483">
        <v>0.66900000000000004</v>
      </c>
      <c r="K13" s="483">
        <v>0.66900000000000004</v>
      </c>
      <c r="L13" s="483">
        <v>0.66900000000000004</v>
      </c>
      <c r="M13" s="483">
        <v>0.55100000000000005</v>
      </c>
      <c r="N13" s="483">
        <v>0.55100000000000005</v>
      </c>
      <c r="O13" s="483">
        <v>0.55100000000000005</v>
      </c>
      <c r="P13" s="483">
        <v>0.55100000000000005</v>
      </c>
      <c r="Q13" s="483">
        <v>0.55100000000000005</v>
      </c>
      <c r="R13" s="483">
        <v>0.47199999999999998</v>
      </c>
      <c r="S13" s="483">
        <v>0.47199999999999998</v>
      </c>
      <c r="T13" s="483">
        <v>0.47199999999999998</v>
      </c>
      <c r="U13" s="483">
        <v>0.47199999999999998</v>
      </c>
      <c r="V13" s="483">
        <v>0.47199999999999998</v>
      </c>
      <c r="W13" s="483">
        <v>0.39400000000000002</v>
      </c>
      <c r="X13" s="483">
        <v>0.39400000000000002</v>
      </c>
      <c r="Y13" s="483">
        <v>0.39400000000000002</v>
      </c>
      <c r="Z13" s="483">
        <v>0.39400000000000002</v>
      </c>
      <c r="AA13" s="483">
        <v>0.39400000000000002</v>
      </c>
    </row>
    <row r="14" spans="1:27" x14ac:dyDescent="0.2">
      <c r="A14" s="476" t="s">
        <v>952</v>
      </c>
      <c r="B14" t="s">
        <v>906</v>
      </c>
      <c r="C14" s="483">
        <v>0.315</v>
      </c>
      <c r="D14" s="483">
        <v>0.315</v>
      </c>
      <c r="E14" s="483">
        <v>0.315</v>
      </c>
      <c r="F14" s="483">
        <v>0.315</v>
      </c>
      <c r="G14" s="483">
        <v>0.315</v>
      </c>
      <c r="H14" s="483">
        <v>0.26800000000000002</v>
      </c>
      <c r="I14" s="483">
        <v>0.26800000000000002</v>
      </c>
      <c r="J14" s="483">
        <v>0.26800000000000002</v>
      </c>
      <c r="K14" s="483">
        <v>0.26800000000000002</v>
      </c>
      <c r="L14" s="483">
        <v>0.26800000000000002</v>
      </c>
      <c r="M14" s="483">
        <v>0.22</v>
      </c>
      <c r="N14" s="483">
        <v>0.22</v>
      </c>
      <c r="O14" s="483">
        <v>0.22</v>
      </c>
      <c r="P14" s="483">
        <v>0.22</v>
      </c>
      <c r="Q14" s="483">
        <v>0.22</v>
      </c>
      <c r="R14" s="483">
        <v>0.189</v>
      </c>
      <c r="S14" s="483">
        <v>0.189</v>
      </c>
      <c r="T14" s="483">
        <v>0.189</v>
      </c>
      <c r="U14" s="483">
        <v>0.189</v>
      </c>
      <c r="V14" s="483">
        <v>0.189</v>
      </c>
      <c r="W14" s="483">
        <v>0.158</v>
      </c>
      <c r="X14" s="483">
        <v>0.158</v>
      </c>
      <c r="Y14" s="483">
        <v>0.158</v>
      </c>
      <c r="Z14" s="483">
        <v>0.158</v>
      </c>
      <c r="AA14" s="483">
        <v>0.158</v>
      </c>
    </row>
    <row r="15" spans="1:27" x14ac:dyDescent="0.2">
      <c r="A15" s="476" t="s">
        <v>953</v>
      </c>
      <c r="B15" t="s">
        <v>954</v>
      </c>
      <c r="C15" s="476">
        <v>32</v>
      </c>
      <c r="D15" s="476">
        <v>32</v>
      </c>
      <c r="E15" s="476">
        <v>32</v>
      </c>
      <c r="F15" s="476">
        <v>32</v>
      </c>
      <c r="G15" s="476">
        <v>32</v>
      </c>
      <c r="H15" s="476">
        <v>32</v>
      </c>
      <c r="I15" s="476">
        <v>32</v>
      </c>
      <c r="J15" s="476">
        <v>32</v>
      </c>
      <c r="K15" s="476">
        <v>32</v>
      </c>
      <c r="L15" s="476">
        <v>32</v>
      </c>
      <c r="M15" s="476">
        <v>32</v>
      </c>
      <c r="N15" s="476">
        <v>32</v>
      </c>
      <c r="O15" s="476">
        <v>32</v>
      </c>
      <c r="P15" s="476">
        <v>32</v>
      </c>
      <c r="Q15" s="476">
        <v>32</v>
      </c>
      <c r="R15" s="476">
        <v>32</v>
      </c>
      <c r="S15" s="476">
        <v>32</v>
      </c>
      <c r="T15" s="476">
        <v>32</v>
      </c>
      <c r="U15" s="476">
        <v>32</v>
      </c>
      <c r="V15" s="476">
        <v>32</v>
      </c>
      <c r="W15" s="476">
        <v>32</v>
      </c>
      <c r="X15" s="476">
        <v>32</v>
      </c>
      <c r="Y15" s="476">
        <v>32</v>
      </c>
      <c r="Z15" s="476">
        <v>32</v>
      </c>
      <c r="AA15" s="476">
        <v>32</v>
      </c>
    </row>
    <row r="16" spans="1:27" x14ac:dyDescent="0.2">
      <c r="A16" s="476" t="s">
        <v>223</v>
      </c>
      <c r="B16" t="s">
        <v>906</v>
      </c>
      <c r="C16" s="483">
        <v>0.75</v>
      </c>
      <c r="D16" s="483">
        <v>0.75</v>
      </c>
      <c r="E16" s="483">
        <v>0.75</v>
      </c>
      <c r="F16" s="483">
        <v>0.75</v>
      </c>
      <c r="G16" s="483">
        <v>0.75</v>
      </c>
      <c r="H16" s="483">
        <v>0.75</v>
      </c>
      <c r="I16" s="483">
        <v>0.75</v>
      </c>
      <c r="J16" s="483">
        <v>0.75</v>
      </c>
      <c r="K16" s="483">
        <v>0.75</v>
      </c>
      <c r="L16" s="483">
        <v>0.75</v>
      </c>
      <c r="M16" s="483">
        <v>0.75</v>
      </c>
      <c r="N16" s="483">
        <v>0.75</v>
      </c>
      <c r="O16" s="483">
        <v>0.75</v>
      </c>
      <c r="P16" s="483">
        <v>0.75</v>
      </c>
      <c r="Q16" s="483">
        <v>0.75</v>
      </c>
      <c r="R16" s="483">
        <v>0.75</v>
      </c>
      <c r="S16" s="483">
        <v>0.75</v>
      </c>
      <c r="T16" s="483">
        <v>0.75</v>
      </c>
      <c r="U16" s="483">
        <v>0.75</v>
      </c>
      <c r="V16" s="483">
        <v>0.75</v>
      </c>
      <c r="W16" s="483">
        <v>0.75</v>
      </c>
      <c r="X16" s="483">
        <v>0.75</v>
      </c>
      <c r="Y16" s="483">
        <v>0.75</v>
      </c>
      <c r="Z16" s="483">
        <v>0.75</v>
      </c>
      <c r="AA16" s="483">
        <v>0.75</v>
      </c>
    </row>
    <row r="17" spans="1:27" x14ac:dyDescent="0.2">
      <c r="A17" s="474"/>
      <c r="B17" s="474"/>
      <c r="C17" s="474"/>
      <c r="D17" s="474"/>
      <c r="E17" s="474"/>
      <c r="F17" s="474"/>
      <c r="G17" s="474"/>
      <c r="H17" s="474"/>
      <c r="I17" s="474"/>
      <c r="J17" s="474"/>
      <c r="K17" s="474"/>
      <c r="L17" s="474"/>
      <c r="M17" s="474"/>
      <c r="N17" s="474"/>
      <c r="O17" s="474"/>
      <c r="P17" s="474"/>
      <c r="Q17" s="474"/>
      <c r="R17" s="474"/>
      <c r="S17" s="474"/>
      <c r="T17" s="474"/>
      <c r="U17" s="474"/>
      <c r="V17" s="474"/>
      <c r="W17" s="474"/>
      <c r="X17" s="474"/>
      <c r="Y17" s="474"/>
      <c r="Z17" s="474"/>
      <c r="AA17" s="474"/>
    </row>
    <row r="18" spans="1:27" x14ac:dyDescent="0.2">
      <c r="A18" s="475" t="s">
        <v>910</v>
      </c>
      <c r="B18" s="474"/>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row>
    <row r="19" spans="1:27" x14ac:dyDescent="0.2">
      <c r="A19" t="s">
        <v>234</v>
      </c>
      <c r="B19" t="s">
        <v>906</v>
      </c>
      <c r="C19" s="482">
        <f t="shared" ref="C19:AA19" si="4">13552/(2*C27)</f>
        <v>25.899609589814411</v>
      </c>
      <c r="D19" s="482">
        <f t="shared" si="4"/>
        <v>24.445976200310273</v>
      </c>
      <c r="E19" s="482">
        <f t="shared" si="4"/>
        <v>23.073928983900899</v>
      </c>
      <c r="F19" s="482">
        <f t="shared" si="4"/>
        <v>21.778888860545667</v>
      </c>
      <c r="G19" s="482">
        <f t="shared" si="4"/>
        <v>20.556533754218531</v>
      </c>
      <c r="H19" s="482">
        <f t="shared" si="4"/>
        <v>19.402784168381046</v>
      </c>
      <c r="I19" s="482">
        <f t="shared" si="4"/>
        <v>18.313789571041909</v>
      </c>
      <c r="J19" s="482">
        <f t="shared" si="4"/>
        <v>17.285915543964347</v>
      </c>
      <c r="K19" s="482">
        <f t="shared" si="4"/>
        <v>16.315731653133149</v>
      </c>
      <c r="L19" s="482">
        <f t="shared" si="4"/>
        <v>15.4</v>
      </c>
      <c r="M19" s="482">
        <f t="shared" si="4"/>
        <v>14.535664415298079</v>
      </c>
      <c r="N19" s="482">
        <f t="shared" si="4"/>
        <v>13.719840259361225</v>
      </c>
      <c r="O19" s="482">
        <f t="shared" si="4"/>
        <v>12.949804794907202</v>
      </c>
      <c r="P19" s="482">
        <f t="shared" si="4"/>
        <v>12.222988100155137</v>
      </c>
      <c r="Q19" s="482">
        <f t="shared" si="4"/>
        <v>11.536964491950448</v>
      </c>
      <c r="R19" s="482">
        <f t="shared" si="4"/>
        <v>10.889444430272832</v>
      </c>
      <c r="S19" s="482">
        <f t="shared" si="4"/>
        <v>10.278266877109264</v>
      </c>
      <c r="T19" s="482">
        <f t="shared" si="4"/>
        <v>9.7013920841905232</v>
      </c>
      <c r="U19" s="482">
        <f t="shared" si="4"/>
        <v>9.1568947855209508</v>
      </c>
      <c r="V19" s="482">
        <f t="shared" si="4"/>
        <v>8.6429577719821715</v>
      </c>
      <c r="W19" s="482">
        <f t="shared" si="4"/>
        <v>8.1578658265665709</v>
      </c>
      <c r="X19" s="482">
        <f t="shared" si="4"/>
        <v>7.7</v>
      </c>
      <c r="Y19" s="482">
        <f t="shared" si="4"/>
        <v>7.2678322076490396</v>
      </c>
      <c r="Z19" s="482">
        <f t="shared" si="4"/>
        <v>6.8599201296806109</v>
      </c>
      <c r="AA19" s="482">
        <f t="shared" si="4"/>
        <v>6.4749023974536009</v>
      </c>
    </row>
    <row r="20" spans="1:27" x14ac:dyDescent="0.2">
      <c r="A20" t="s">
        <v>911</v>
      </c>
      <c r="B20" t="s">
        <v>906</v>
      </c>
      <c r="C20" s="482">
        <f t="shared" ref="C20:AA20" si="5">0.6*C10</f>
        <v>0.47220000000000001</v>
      </c>
      <c r="D20" s="482">
        <f t="shared" si="5"/>
        <v>0.47220000000000001</v>
      </c>
      <c r="E20" s="482">
        <f t="shared" si="5"/>
        <v>0.47220000000000001</v>
      </c>
      <c r="F20" s="482">
        <f t="shared" si="5"/>
        <v>0.47220000000000001</v>
      </c>
      <c r="G20" s="482">
        <f t="shared" si="5"/>
        <v>0.47220000000000001</v>
      </c>
      <c r="H20" s="482">
        <f t="shared" si="5"/>
        <v>0.40140000000000003</v>
      </c>
      <c r="I20" s="482">
        <f t="shared" si="5"/>
        <v>0.40140000000000003</v>
      </c>
      <c r="J20" s="482">
        <f t="shared" si="5"/>
        <v>0.40140000000000003</v>
      </c>
      <c r="K20" s="482">
        <f t="shared" si="5"/>
        <v>0.40140000000000003</v>
      </c>
      <c r="L20" s="482">
        <f t="shared" si="5"/>
        <v>0.40140000000000003</v>
      </c>
      <c r="M20" s="482">
        <f t="shared" si="5"/>
        <v>0.3306</v>
      </c>
      <c r="N20" s="482">
        <f t="shared" si="5"/>
        <v>0.3306</v>
      </c>
      <c r="O20" s="482">
        <f t="shared" si="5"/>
        <v>0.3306</v>
      </c>
      <c r="P20" s="482">
        <f t="shared" si="5"/>
        <v>0.3306</v>
      </c>
      <c r="Q20" s="482">
        <f t="shared" si="5"/>
        <v>0.3306</v>
      </c>
      <c r="R20" s="482">
        <f t="shared" si="5"/>
        <v>0.28319999999999995</v>
      </c>
      <c r="S20" s="482">
        <f t="shared" si="5"/>
        <v>0.28319999999999995</v>
      </c>
      <c r="T20" s="482">
        <f t="shared" si="5"/>
        <v>0.28319999999999995</v>
      </c>
      <c r="U20" s="482">
        <f t="shared" si="5"/>
        <v>0.28319999999999995</v>
      </c>
      <c r="V20" s="482">
        <f t="shared" si="5"/>
        <v>0.28319999999999995</v>
      </c>
      <c r="W20" s="482">
        <f t="shared" si="5"/>
        <v>0.2364</v>
      </c>
      <c r="X20" s="482">
        <f t="shared" si="5"/>
        <v>0.2364</v>
      </c>
      <c r="Y20" s="482">
        <f t="shared" si="5"/>
        <v>0.2364</v>
      </c>
      <c r="Z20" s="482">
        <f t="shared" si="5"/>
        <v>0.2364</v>
      </c>
      <c r="AA20" s="482">
        <f t="shared" si="5"/>
        <v>0.2364</v>
      </c>
    </row>
    <row r="21" spans="1:27" x14ac:dyDescent="0.2">
      <c r="A21" t="s">
        <v>912</v>
      </c>
      <c r="B21" t="s">
        <v>906</v>
      </c>
      <c r="C21" s="482">
        <f t="shared" ref="C21:AA21" si="6">C19-C20</f>
        <v>25.42740958981441</v>
      </c>
      <c r="D21" s="482">
        <f t="shared" si="6"/>
        <v>23.973776200310272</v>
      </c>
      <c r="E21" s="482">
        <f t="shared" si="6"/>
        <v>22.601728983900898</v>
      </c>
      <c r="F21" s="482">
        <f t="shared" si="6"/>
        <v>21.306688860545666</v>
      </c>
      <c r="G21" s="482">
        <f t="shared" si="6"/>
        <v>20.08433375421853</v>
      </c>
      <c r="H21" s="482">
        <f t="shared" si="6"/>
        <v>19.001384168381048</v>
      </c>
      <c r="I21" s="482">
        <f t="shared" si="6"/>
        <v>17.91238957104191</v>
      </c>
      <c r="J21" s="482">
        <f t="shared" si="6"/>
        <v>16.884515543964348</v>
      </c>
      <c r="K21" s="482">
        <f t="shared" si="6"/>
        <v>15.914331653133148</v>
      </c>
      <c r="L21" s="482">
        <f t="shared" si="6"/>
        <v>14.9986</v>
      </c>
      <c r="M21" s="482">
        <f t="shared" si="6"/>
        <v>14.205064415298079</v>
      </c>
      <c r="N21" s="482">
        <f t="shared" si="6"/>
        <v>13.389240259361225</v>
      </c>
      <c r="O21" s="482">
        <f t="shared" si="6"/>
        <v>12.619204794907201</v>
      </c>
      <c r="P21" s="482">
        <f t="shared" si="6"/>
        <v>11.892388100155136</v>
      </c>
      <c r="Q21" s="482">
        <f t="shared" si="6"/>
        <v>11.206364491950447</v>
      </c>
      <c r="R21" s="482">
        <f t="shared" si="6"/>
        <v>10.606244430272831</v>
      </c>
      <c r="S21" s="482">
        <f t="shared" si="6"/>
        <v>9.995066877109263</v>
      </c>
      <c r="T21" s="482">
        <f t="shared" si="6"/>
        <v>9.4181920841905225</v>
      </c>
      <c r="U21" s="482">
        <f t="shared" si="6"/>
        <v>8.87369478552095</v>
      </c>
      <c r="V21" s="482">
        <f t="shared" si="6"/>
        <v>8.3597577719821707</v>
      </c>
      <c r="W21" s="482">
        <f t="shared" si="6"/>
        <v>7.9214658265665712</v>
      </c>
      <c r="X21" s="482">
        <f t="shared" si="6"/>
        <v>7.4636000000000005</v>
      </c>
      <c r="Y21" s="482">
        <f t="shared" si="6"/>
        <v>7.0314322076490399</v>
      </c>
      <c r="Z21" s="482">
        <f t="shared" si="6"/>
        <v>6.6235201296806112</v>
      </c>
      <c r="AA21" s="482">
        <f t="shared" si="6"/>
        <v>6.2385023974536011</v>
      </c>
    </row>
    <row r="22" spans="1:27" x14ac:dyDescent="0.2">
      <c r="A22" t="s">
        <v>913</v>
      </c>
      <c r="B22" t="s">
        <v>914</v>
      </c>
      <c r="C22">
        <v>13552</v>
      </c>
      <c r="D22">
        <v>13552</v>
      </c>
      <c r="E22">
        <v>13552</v>
      </c>
      <c r="F22">
        <v>13552</v>
      </c>
      <c r="G22">
        <v>13552</v>
      </c>
      <c r="H22">
        <v>13552</v>
      </c>
      <c r="I22">
        <v>13552</v>
      </c>
      <c r="J22">
        <v>13552</v>
      </c>
      <c r="K22">
        <v>13552</v>
      </c>
      <c r="L22">
        <v>13552</v>
      </c>
      <c r="M22">
        <v>13552</v>
      </c>
      <c r="N22">
        <v>13552</v>
      </c>
      <c r="O22">
        <v>13552</v>
      </c>
      <c r="P22">
        <v>13552</v>
      </c>
      <c r="Q22">
        <v>13552</v>
      </c>
      <c r="R22">
        <v>13552</v>
      </c>
      <c r="S22">
        <v>13552</v>
      </c>
      <c r="T22">
        <v>13552</v>
      </c>
      <c r="U22">
        <v>13552</v>
      </c>
      <c r="V22">
        <v>13552</v>
      </c>
      <c r="W22">
        <v>13552</v>
      </c>
      <c r="X22">
        <v>13552</v>
      </c>
      <c r="Y22">
        <v>13552</v>
      </c>
      <c r="Z22">
        <v>13552</v>
      </c>
      <c r="AA22">
        <v>13552</v>
      </c>
    </row>
    <row r="23" spans="1:27" x14ac:dyDescent="0.2">
      <c r="A23" t="s">
        <v>955</v>
      </c>
      <c r="B23" t="s">
        <v>956</v>
      </c>
      <c r="C23" s="469">
        <f t="shared" ref="C23:AA23" si="7">C19/11.93</f>
        <v>2.1709647602526747</v>
      </c>
      <c r="D23" s="469">
        <f t="shared" si="7"/>
        <v>2.0491178709396709</v>
      </c>
      <c r="E23" s="469">
        <f t="shared" si="7"/>
        <v>1.9341097220369572</v>
      </c>
      <c r="F23" s="469">
        <f t="shared" si="7"/>
        <v>1.8255564845386143</v>
      </c>
      <c r="G23" s="469">
        <f t="shared" si="7"/>
        <v>1.723095872105493</v>
      </c>
      <c r="H23" s="469">
        <f t="shared" si="7"/>
        <v>1.6263859319682352</v>
      </c>
      <c r="I23" s="469">
        <f t="shared" si="7"/>
        <v>1.535103903691694</v>
      </c>
      <c r="J23" s="469">
        <f t="shared" si="7"/>
        <v>1.4489451419919821</v>
      </c>
      <c r="K23" s="469">
        <f t="shared" si="7"/>
        <v>1.3676221000111608</v>
      </c>
      <c r="L23" s="469">
        <f t="shared" si="7"/>
        <v>1.2908633696563288</v>
      </c>
      <c r="M23" s="469">
        <f t="shared" si="7"/>
        <v>1.218412775800342</v>
      </c>
      <c r="N23" s="469">
        <f t="shared" si="7"/>
        <v>1.1500285213211421</v>
      </c>
      <c r="O23" s="469">
        <f t="shared" si="7"/>
        <v>1.0854823801263371</v>
      </c>
      <c r="P23" s="469">
        <f t="shared" si="7"/>
        <v>1.0245589354698355</v>
      </c>
      <c r="Q23" s="469">
        <f t="shared" si="7"/>
        <v>0.96705486101847848</v>
      </c>
      <c r="R23" s="469">
        <f t="shared" si="7"/>
        <v>0.91277824226930693</v>
      </c>
      <c r="S23" s="469">
        <f t="shared" si="7"/>
        <v>0.86154793605274638</v>
      </c>
      <c r="T23" s="469">
        <f t="shared" si="7"/>
        <v>0.81319296598411761</v>
      </c>
      <c r="U23" s="469">
        <f t="shared" si="7"/>
        <v>0.76755195184584668</v>
      </c>
      <c r="V23" s="469">
        <f t="shared" si="7"/>
        <v>0.72447257099599094</v>
      </c>
      <c r="W23" s="469">
        <f t="shared" si="7"/>
        <v>0.68381105000558018</v>
      </c>
      <c r="X23" s="469">
        <f t="shared" si="7"/>
        <v>0.64543168482816438</v>
      </c>
      <c r="Y23" s="469">
        <f t="shared" si="7"/>
        <v>0.60920638790017101</v>
      </c>
      <c r="Z23" s="469">
        <f t="shared" si="7"/>
        <v>0.57501426066057093</v>
      </c>
      <c r="AA23" s="469">
        <f t="shared" si="7"/>
        <v>0.54274119006316857</v>
      </c>
    </row>
    <row r="24" spans="1:27" x14ac:dyDescent="0.2">
      <c r="A24" s="479"/>
      <c r="B24" s="479"/>
      <c r="C24" s="479"/>
      <c r="D24" s="479"/>
      <c r="E24" s="479"/>
      <c r="F24" s="479"/>
      <c r="G24" s="479"/>
      <c r="H24" s="479"/>
      <c r="I24" s="479"/>
      <c r="J24" s="479"/>
      <c r="K24" s="479"/>
      <c r="L24" s="479"/>
      <c r="M24" s="479"/>
      <c r="N24" s="479"/>
      <c r="O24" s="479"/>
      <c r="P24" s="479"/>
      <c r="Q24" s="479"/>
      <c r="R24" s="479"/>
      <c r="S24" s="479"/>
      <c r="T24" s="479"/>
      <c r="U24" s="479"/>
      <c r="V24" s="479"/>
      <c r="W24" s="479"/>
      <c r="X24" s="479"/>
      <c r="Y24" s="479"/>
      <c r="Z24" s="479"/>
      <c r="AA24" s="479"/>
    </row>
    <row r="25" spans="1:27" x14ac:dyDescent="0.2">
      <c r="A25" s="484" t="s">
        <v>957</v>
      </c>
      <c r="B25" s="479"/>
      <c r="C25" s="479"/>
      <c r="D25" s="479"/>
      <c r="E25" s="479"/>
      <c r="F25" s="479"/>
      <c r="G25" s="479"/>
      <c r="H25" s="479"/>
      <c r="I25" s="479"/>
      <c r="J25" s="479"/>
      <c r="K25" s="479"/>
      <c r="L25" s="479"/>
      <c r="M25" s="479"/>
      <c r="N25" s="479"/>
      <c r="O25" s="479"/>
      <c r="P25" s="479"/>
      <c r="Q25" s="479"/>
      <c r="R25" s="479"/>
      <c r="S25" s="479"/>
      <c r="T25" s="479"/>
      <c r="U25" s="479"/>
      <c r="V25" s="479"/>
      <c r="W25" s="479"/>
      <c r="X25" s="479"/>
      <c r="Y25" s="479"/>
      <c r="Z25" s="479"/>
      <c r="AA25" s="479"/>
    </row>
    <row r="26" spans="1:27" x14ac:dyDescent="0.2">
      <c r="A26" s="472" t="s">
        <v>958</v>
      </c>
      <c r="C26" s="472" t="s">
        <v>6</v>
      </c>
      <c r="D26" s="472" t="s">
        <v>7</v>
      </c>
      <c r="E26" s="472" t="s">
        <v>8</v>
      </c>
      <c r="F26" s="472" t="s">
        <v>9</v>
      </c>
      <c r="G26" s="472" t="s">
        <v>10</v>
      </c>
      <c r="H26" s="472" t="s">
        <v>240</v>
      </c>
      <c r="I26" s="472" t="s">
        <v>12</v>
      </c>
      <c r="J26" s="472" t="s">
        <v>13</v>
      </c>
      <c r="K26" s="472" t="s">
        <v>14</v>
      </c>
      <c r="L26" s="472" t="s">
        <v>15</v>
      </c>
      <c r="M26" s="472" t="s">
        <v>16</v>
      </c>
      <c r="N26" s="472" t="s">
        <v>17</v>
      </c>
      <c r="O26" s="472" t="s">
        <v>18</v>
      </c>
      <c r="P26" s="472" t="s">
        <v>19</v>
      </c>
      <c r="Q26" s="472" t="s">
        <v>20</v>
      </c>
      <c r="R26" s="472" t="s">
        <v>35</v>
      </c>
      <c r="S26" s="472" t="s">
        <v>210</v>
      </c>
      <c r="T26" s="472" t="s">
        <v>211</v>
      </c>
      <c r="U26" s="472" t="s">
        <v>45</v>
      </c>
      <c r="V26" s="472" t="s">
        <v>212</v>
      </c>
      <c r="W26" s="472" t="s">
        <v>213</v>
      </c>
      <c r="X26" s="472" t="s">
        <v>725</v>
      </c>
      <c r="Y26" s="472" t="s">
        <v>53</v>
      </c>
      <c r="Z26" s="472" t="s">
        <v>734</v>
      </c>
      <c r="AA26" s="472" t="s">
        <v>737</v>
      </c>
    </row>
    <row r="27" spans="1:27" x14ac:dyDescent="0.2">
      <c r="A27" t="s">
        <v>916</v>
      </c>
      <c r="B27" t="s">
        <v>917</v>
      </c>
      <c r="C27" s="481">
        <f t="shared" ref="C27:AA27" si="8">((2^(1/12))^(C4-49))*440</f>
        <v>261.62556530059862</v>
      </c>
      <c r="D27" s="481">
        <f t="shared" si="8"/>
        <v>277.18263097687208</v>
      </c>
      <c r="E27" s="481">
        <f t="shared" si="8"/>
        <v>293.66476791740752</v>
      </c>
      <c r="F27" s="481">
        <f t="shared" si="8"/>
        <v>311.12698372208087</v>
      </c>
      <c r="G27" s="481">
        <f t="shared" si="8"/>
        <v>329.62755691286992</v>
      </c>
      <c r="H27" s="481">
        <f t="shared" si="8"/>
        <v>349.22823143300388</v>
      </c>
      <c r="I27" s="481">
        <f t="shared" si="8"/>
        <v>369.99442271163434</v>
      </c>
      <c r="J27" s="481">
        <f t="shared" si="8"/>
        <v>391.99543598174927</v>
      </c>
      <c r="K27" s="481">
        <f t="shared" si="8"/>
        <v>415.30469757994513</v>
      </c>
      <c r="L27" s="481">
        <f t="shared" si="8"/>
        <v>440</v>
      </c>
      <c r="M27" s="481">
        <f t="shared" si="8"/>
        <v>466.16376151808993</v>
      </c>
      <c r="N27" s="481">
        <f t="shared" si="8"/>
        <v>493.88330125612413</v>
      </c>
      <c r="O27" s="481">
        <f t="shared" si="8"/>
        <v>523.25113060119736</v>
      </c>
      <c r="P27" s="481">
        <f t="shared" si="8"/>
        <v>554.36526195374415</v>
      </c>
      <c r="Q27" s="481">
        <f t="shared" si="8"/>
        <v>587.32953583481515</v>
      </c>
      <c r="R27" s="481">
        <f t="shared" si="8"/>
        <v>622.25396744416184</v>
      </c>
      <c r="S27" s="481">
        <f t="shared" si="8"/>
        <v>659.25511382573995</v>
      </c>
      <c r="T27" s="481">
        <f t="shared" si="8"/>
        <v>698.45646286600777</v>
      </c>
      <c r="U27" s="481">
        <f t="shared" si="8"/>
        <v>739.98884542326891</v>
      </c>
      <c r="V27" s="481">
        <f t="shared" si="8"/>
        <v>783.99087196349865</v>
      </c>
      <c r="W27" s="481">
        <f t="shared" si="8"/>
        <v>830.60939515989048</v>
      </c>
      <c r="X27" s="481">
        <f t="shared" si="8"/>
        <v>880</v>
      </c>
      <c r="Y27" s="481">
        <f t="shared" si="8"/>
        <v>932.32752303617985</v>
      </c>
      <c r="Z27" s="481">
        <f t="shared" si="8"/>
        <v>987.76660251224848</v>
      </c>
      <c r="AA27" s="481">
        <f t="shared" si="8"/>
        <v>1046.5022612023947</v>
      </c>
    </row>
    <row r="28" spans="1:27" x14ac:dyDescent="0.2">
      <c r="A28" t="s">
        <v>959</v>
      </c>
      <c r="C28" s="472" t="s">
        <v>9</v>
      </c>
      <c r="D28" s="472" t="s">
        <v>10</v>
      </c>
      <c r="E28" s="472" t="s">
        <v>240</v>
      </c>
      <c r="F28" s="472" t="s">
        <v>12</v>
      </c>
      <c r="G28" s="472" t="s">
        <v>13</v>
      </c>
      <c r="H28" s="472" t="s">
        <v>14</v>
      </c>
      <c r="I28" s="472" t="s">
        <v>15</v>
      </c>
      <c r="J28" s="472" t="s">
        <v>16</v>
      </c>
      <c r="K28" s="472" t="s">
        <v>17</v>
      </c>
      <c r="L28" s="472" t="s">
        <v>18</v>
      </c>
      <c r="M28" s="472" t="s">
        <v>19</v>
      </c>
      <c r="N28" s="472" t="s">
        <v>20</v>
      </c>
      <c r="O28" s="472" t="s">
        <v>35</v>
      </c>
      <c r="P28" s="472" t="s">
        <v>210</v>
      </c>
      <c r="Q28" s="472" t="s">
        <v>211</v>
      </c>
      <c r="R28" s="472" t="s">
        <v>45</v>
      </c>
      <c r="S28" s="472" t="s">
        <v>212</v>
      </c>
      <c r="T28" s="472" t="s">
        <v>213</v>
      </c>
      <c r="U28" s="472" t="s">
        <v>725</v>
      </c>
      <c r="V28" s="472" t="s">
        <v>53</v>
      </c>
      <c r="W28" s="472" t="s">
        <v>734</v>
      </c>
      <c r="X28" s="472" t="s">
        <v>737</v>
      </c>
      <c r="Y28" s="472" t="s">
        <v>214</v>
      </c>
      <c r="Z28" s="472" t="s">
        <v>740</v>
      </c>
      <c r="AA28" s="472" t="s">
        <v>247</v>
      </c>
    </row>
    <row r="29" spans="1:27" x14ac:dyDescent="0.2">
      <c r="A29" t="s">
        <v>919</v>
      </c>
      <c r="B29" t="s">
        <v>917</v>
      </c>
      <c r="C29" s="481">
        <f t="shared" ref="C29:AA29" si="9">((2^(1/12))^(C4+3-49))*440</f>
        <v>311.12698372208087</v>
      </c>
      <c r="D29" s="481">
        <f t="shared" si="9"/>
        <v>329.62755691286992</v>
      </c>
      <c r="E29" s="481">
        <f t="shared" si="9"/>
        <v>349.22823143300388</v>
      </c>
      <c r="F29" s="481">
        <f t="shared" si="9"/>
        <v>369.99442271163434</v>
      </c>
      <c r="G29" s="481">
        <f t="shared" si="9"/>
        <v>391.99543598174927</v>
      </c>
      <c r="H29" s="481">
        <f t="shared" si="9"/>
        <v>415.30469757994513</v>
      </c>
      <c r="I29" s="481">
        <f t="shared" si="9"/>
        <v>440</v>
      </c>
      <c r="J29" s="481">
        <f t="shared" si="9"/>
        <v>466.16376151808993</v>
      </c>
      <c r="K29" s="481">
        <f t="shared" si="9"/>
        <v>493.88330125612413</v>
      </c>
      <c r="L29" s="481">
        <f t="shared" si="9"/>
        <v>523.25113060119736</v>
      </c>
      <c r="M29" s="481">
        <f t="shared" si="9"/>
        <v>554.36526195374415</v>
      </c>
      <c r="N29" s="481">
        <f t="shared" si="9"/>
        <v>587.32953583481515</v>
      </c>
      <c r="O29" s="481">
        <f t="shared" si="9"/>
        <v>622.25396744416184</v>
      </c>
      <c r="P29" s="481">
        <f t="shared" si="9"/>
        <v>659.25511382573995</v>
      </c>
      <c r="Q29" s="481">
        <f t="shared" si="9"/>
        <v>698.45646286600777</v>
      </c>
      <c r="R29" s="481">
        <f t="shared" si="9"/>
        <v>739.98884542326891</v>
      </c>
      <c r="S29" s="481">
        <f t="shared" si="9"/>
        <v>783.99087196349865</v>
      </c>
      <c r="T29" s="481">
        <f t="shared" si="9"/>
        <v>830.60939515989048</v>
      </c>
      <c r="U29" s="481">
        <f t="shared" si="9"/>
        <v>880</v>
      </c>
      <c r="V29" s="481">
        <f t="shared" si="9"/>
        <v>932.32752303617985</v>
      </c>
      <c r="W29" s="481">
        <f t="shared" si="9"/>
        <v>987.76660251224848</v>
      </c>
      <c r="X29" s="481">
        <f t="shared" si="9"/>
        <v>1046.5022612023947</v>
      </c>
      <c r="Y29" s="481">
        <f t="shared" si="9"/>
        <v>1108.7305239074885</v>
      </c>
      <c r="Z29" s="481">
        <f t="shared" si="9"/>
        <v>1174.6590716696305</v>
      </c>
      <c r="AA29" s="481">
        <f t="shared" si="9"/>
        <v>1244.5079348883239</v>
      </c>
    </row>
    <row r="30" spans="1:27" x14ac:dyDescent="0.2">
      <c r="A30" t="s">
        <v>97</v>
      </c>
      <c r="B30" t="s">
        <v>906</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row>
    <row r="31" spans="1:27" x14ac:dyDescent="0.2">
      <c r="A31" t="s">
        <v>920</v>
      </c>
      <c r="B31" t="s">
        <v>906</v>
      </c>
      <c r="C31" s="482">
        <f t="shared" ref="C31:AA31" si="10">C19*C27/C29</f>
        <v>21.778888860545667</v>
      </c>
      <c r="D31" s="482">
        <f t="shared" si="10"/>
        <v>20.556533754218531</v>
      </c>
      <c r="E31" s="482">
        <f t="shared" si="10"/>
        <v>19.402784168381046</v>
      </c>
      <c r="F31" s="482">
        <f t="shared" si="10"/>
        <v>18.313789571041909</v>
      </c>
      <c r="G31" s="482">
        <f t="shared" si="10"/>
        <v>17.285915543964347</v>
      </c>
      <c r="H31" s="482">
        <f t="shared" si="10"/>
        <v>16.315731653133149</v>
      </c>
      <c r="I31" s="482">
        <f t="shared" si="10"/>
        <v>15.400000000000002</v>
      </c>
      <c r="J31" s="482">
        <f t="shared" si="10"/>
        <v>14.535664415298081</v>
      </c>
      <c r="K31" s="482">
        <f t="shared" si="10"/>
        <v>13.719840259361227</v>
      </c>
      <c r="L31" s="482">
        <f t="shared" si="10"/>
        <v>12.949804794907202</v>
      </c>
      <c r="M31" s="482">
        <f t="shared" si="10"/>
        <v>12.222988100155137</v>
      </c>
      <c r="N31" s="482">
        <f t="shared" si="10"/>
        <v>11.536964491950448</v>
      </c>
      <c r="O31" s="482">
        <f t="shared" si="10"/>
        <v>10.889444430272832</v>
      </c>
      <c r="P31" s="482">
        <f t="shared" si="10"/>
        <v>10.278266877109264</v>
      </c>
      <c r="Q31" s="482">
        <f t="shared" si="10"/>
        <v>9.7013920841905232</v>
      </c>
      <c r="R31" s="482">
        <f t="shared" si="10"/>
        <v>9.1568947855209508</v>
      </c>
      <c r="S31" s="482">
        <f t="shared" si="10"/>
        <v>8.6429577719821715</v>
      </c>
      <c r="T31" s="482">
        <f t="shared" si="10"/>
        <v>8.1578658265665709</v>
      </c>
      <c r="U31" s="482">
        <f t="shared" si="10"/>
        <v>7.7</v>
      </c>
      <c r="V31" s="482">
        <f t="shared" si="10"/>
        <v>7.2678322076490396</v>
      </c>
      <c r="W31" s="482">
        <f t="shared" si="10"/>
        <v>6.85992012968061</v>
      </c>
      <c r="X31" s="482">
        <f t="shared" si="10"/>
        <v>6.4749023974536009</v>
      </c>
      <c r="Y31" s="482">
        <f t="shared" si="10"/>
        <v>6.1114940500775674</v>
      </c>
      <c r="Z31" s="482">
        <f t="shared" si="10"/>
        <v>5.7684822459752221</v>
      </c>
      <c r="AA31" s="482">
        <f t="shared" si="10"/>
        <v>5.444722215136415</v>
      </c>
    </row>
    <row r="32" spans="1:27" x14ac:dyDescent="0.2">
      <c r="A32" t="s">
        <v>960</v>
      </c>
      <c r="C32" s="472" t="s">
        <v>240</v>
      </c>
      <c r="D32" s="472" t="s">
        <v>12</v>
      </c>
      <c r="E32" s="472" t="s">
        <v>13</v>
      </c>
      <c r="F32" s="472" t="s">
        <v>14</v>
      </c>
      <c r="G32" s="472" t="s">
        <v>15</v>
      </c>
      <c r="H32" s="472" t="s">
        <v>16</v>
      </c>
      <c r="I32" s="472" t="s">
        <v>17</v>
      </c>
      <c r="J32" s="472" t="s">
        <v>18</v>
      </c>
      <c r="K32" s="472" t="s">
        <v>19</v>
      </c>
      <c r="L32" s="472" t="s">
        <v>20</v>
      </c>
      <c r="M32" s="472" t="s">
        <v>35</v>
      </c>
      <c r="N32" s="472" t="s">
        <v>210</v>
      </c>
      <c r="O32" s="472" t="s">
        <v>211</v>
      </c>
      <c r="P32" s="472" t="s">
        <v>45</v>
      </c>
      <c r="Q32" s="472" t="s">
        <v>212</v>
      </c>
      <c r="R32" s="472" t="s">
        <v>213</v>
      </c>
      <c r="S32" s="472" t="s">
        <v>725</v>
      </c>
      <c r="T32" s="472" t="s">
        <v>53</v>
      </c>
      <c r="U32" s="472" t="s">
        <v>734</v>
      </c>
      <c r="V32" s="472" t="s">
        <v>737</v>
      </c>
      <c r="W32" s="472" t="s">
        <v>214</v>
      </c>
      <c r="X32" s="472" t="s">
        <v>740</v>
      </c>
      <c r="Y32" s="472" t="s">
        <v>247</v>
      </c>
      <c r="Z32" s="472" t="s">
        <v>744</v>
      </c>
      <c r="AA32" s="472" t="s">
        <v>746</v>
      </c>
    </row>
    <row r="33" spans="1:27" x14ac:dyDescent="0.2">
      <c r="A33" t="s">
        <v>922</v>
      </c>
      <c r="B33" t="s">
        <v>917</v>
      </c>
      <c r="C33" s="481">
        <f t="shared" ref="C33:AA33" si="11">((2^(1/12))^(C4+5-49))*440</f>
        <v>349.22823143300388</v>
      </c>
      <c r="D33" s="481">
        <f t="shared" si="11"/>
        <v>369.99442271163434</v>
      </c>
      <c r="E33" s="481">
        <f t="shared" si="11"/>
        <v>391.99543598174927</v>
      </c>
      <c r="F33" s="481">
        <f t="shared" si="11"/>
        <v>415.30469757994513</v>
      </c>
      <c r="G33" s="481">
        <f t="shared" si="11"/>
        <v>440</v>
      </c>
      <c r="H33" s="481">
        <f t="shared" si="11"/>
        <v>466.16376151808993</v>
      </c>
      <c r="I33" s="481">
        <f t="shared" si="11"/>
        <v>493.88330125612413</v>
      </c>
      <c r="J33" s="481">
        <f t="shared" si="11"/>
        <v>523.25113060119736</v>
      </c>
      <c r="K33" s="481">
        <f t="shared" si="11"/>
        <v>554.36526195374415</v>
      </c>
      <c r="L33" s="481">
        <f t="shared" si="11"/>
        <v>587.32953583481515</v>
      </c>
      <c r="M33" s="481">
        <f t="shared" si="11"/>
        <v>622.25396744416184</v>
      </c>
      <c r="N33" s="481">
        <f t="shared" si="11"/>
        <v>659.25511382573995</v>
      </c>
      <c r="O33" s="481">
        <f t="shared" si="11"/>
        <v>698.45646286600777</v>
      </c>
      <c r="P33" s="481">
        <f t="shared" si="11"/>
        <v>739.98884542326891</v>
      </c>
      <c r="Q33" s="481">
        <f t="shared" si="11"/>
        <v>783.99087196349865</v>
      </c>
      <c r="R33" s="481">
        <f t="shared" si="11"/>
        <v>830.60939515989048</v>
      </c>
      <c r="S33" s="481">
        <f t="shared" si="11"/>
        <v>880</v>
      </c>
      <c r="T33" s="481">
        <f t="shared" si="11"/>
        <v>932.32752303617985</v>
      </c>
      <c r="U33" s="481">
        <f t="shared" si="11"/>
        <v>987.76660251224848</v>
      </c>
      <c r="V33" s="481">
        <f t="shared" si="11"/>
        <v>1046.5022612023947</v>
      </c>
      <c r="W33" s="481">
        <f t="shared" si="11"/>
        <v>1108.7305239074885</v>
      </c>
      <c r="X33" s="481">
        <f t="shared" si="11"/>
        <v>1174.6590716696305</v>
      </c>
      <c r="Y33" s="481">
        <f t="shared" si="11"/>
        <v>1244.5079348883239</v>
      </c>
      <c r="Z33" s="481">
        <f t="shared" si="11"/>
        <v>1318.5102276514801</v>
      </c>
      <c r="AA33" s="481">
        <f t="shared" si="11"/>
        <v>1396.9129257320158</v>
      </c>
    </row>
    <row r="34" spans="1:27" x14ac:dyDescent="0.2">
      <c r="A34" t="s">
        <v>100</v>
      </c>
      <c r="B34" t="s">
        <v>906</v>
      </c>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row>
    <row r="35" spans="1:27" x14ac:dyDescent="0.2">
      <c r="A35" t="s">
        <v>923</v>
      </c>
      <c r="B35" t="s">
        <v>906</v>
      </c>
      <c r="C35" s="482">
        <f t="shared" ref="C35:AA35" si="12">C19*C27/C33</f>
        <v>19.402784168381046</v>
      </c>
      <c r="D35" s="482">
        <f t="shared" si="12"/>
        <v>18.313789571041909</v>
      </c>
      <c r="E35" s="482">
        <f t="shared" si="12"/>
        <v>17.285915543964347</v>
      </c>
      <c r="F35" s="482">
        <f t="shared" si="12"/>
        <v>16.315731653133149</v>
      </c>
      <c r="G35" s="482">
        <f t="shared" si="12"/>
        <v>15.4</v>
      </c>
      <c r="H35" s="482">
        <f t="shared" si="12"/>
        <v>14.535664415298079</v>
      </c>
      <c r="I35" s="482">
        <f t="shared" si="12"/>
        <v>13.719840259361227</v>
      </c>
      <c r="J35" s="482">
        <f t="shared" si="12"/>
        <v>12.949804794907203</v>
      </c>
      <c r="K35" s="482">
        <f t="shared" si="12"/>
        <v>12.222988100155138</v>
      </c>
      <c r="L35" s="482">
        <f t="shared" si="12"/>
        <v>11.536964491950448</v>
      </c>
      <c r="M35" s="482">
        <f t="shared" si="12"/>
        <v>10.889444430272832</v>
      </c>
      <c r="N35" s="482">
        <f t="shared" si="12"/>
        <v>10.278266877109264</v>
      </c>
      <c r="O35" s="482">
        <f t="shared" si="12"/>
        <v>9.7013920841905232</v>
      </c>
      <c r="P35" s="482">
        <f t="shared" si="12"/>
        <v>9.1568947855209508</v>
      </c>
      <c r="Q35" s="482">
        <f t="shared" si="12"/>
        <v>8.6429577719821715</v>
      </c>
      <c r="R35" s="482">
        <f t="shared" si="12"/>
        <v>8.1578658265665709</v>
      </c>
      <c r="S35" s="482">
        <f t="shared" si="12"/>
        <v>7.7</v>
      </c>
      <c r="T35" s="482">
        <f t="shared" si="12"/>
        <v>7.2678322076490396</v>
      </c>
      <c r="U35" s="482">
        <f t="shared" si="12"/>
        <v>6.8599201296806109</v>
      </c>
      <c r="V35" s="482">
        <f t="shared" si="12"/>
        <v>6.4749023974536009</v>
      </c>
      <c r="W35" s="482">
        <f t="shared" si="12"/>
        <v>6.1114940500775665</v>
      </c>
      <c r="X35" s="482">
        <f t="shared" si="12"/>
        <v>5.7684822459752221</v>
      </c>
      <c r="Y35" s="482">
        <f t="shared" si="12"/>
        <v>5.444722215136415</v>
      </c>
      <c r="Z35" s="482">
        <f t="shared" si="12"/>
        <v>5.139133438554631</v>
      </c>
      <c r="AA35" s="482">
        <f t="shared" si="12"/>
        <v>4.8506960420952607</v>
      </c>
    </row>
    <row r="36" spans="1:27" x14ac:dyDescent="0.2">
      <c r="A36" t="s">
        <v>961</v>
      </c>
      <c r="C36" s="472" t="s">
        <v>13</v>
      </c>
      <c r="D36" s="472" t="s">
        <v>14</v>
      </c>
      <c r="E36" s="472" t="s">
        <v>15</v>
      </c>
      <c r="F36" s="472" t="s">
        <v>16</v>
      </c>
      <c r="G36" s="472" t="s">
        <v>17</v>
      </c>
      <c r="H36" s="472" t="s">
        <v>18</v>
      </c>
      <c r="I36" s="472" t="s">
        <v>19</v>
      </c>
      <c r="J36" s="472" t="s">
        <v>20</v>
      </c>
      <c r="K36" s="472" t="s">
        <v>35</v>
      </c>
      <c r="L36" s="472" t="s">
        <v>210</v>
      </c>
      <c r="M36" s="472" t="s">
        <v>211</v>
      </c>
      <c r="N36" s="472" t="s">
        <v>45</v>
      </c>
      <c r="O36" s="472" t="s">
        <v>212</v>
      </c>
      <c r="P36" s="472" t="s">
        <v>213</v>
      </c>
      <c r="Q36" s="472" t="s">
        <v>725</v>
      </c>
      <c r="R36" s="472" t="s">
        <v>53</v>
      </c>
      <c r="S36" s="472" t="s">
        <v>734</v>
      </c>
      <c r="T36" s="472" t="s">
        <v>737</v>
      </c>
      <c r="U36" s="472" t="s">
        <v>214</v>
      </c>
      <c r="V36" s="472" t="s">
        <v>740</v>
      </c>
      <c r="W36" s="472" t="s">
        <v>247</v>
      </c>
      <c r="X36" s="472" t="s">
        <v>744</v>
      </c>
      <c r="Y36" s="472" t="s">
        <v>746</v>
      </c>
      <c r="Z36" s="472" t="s">
        <v>259</v>
      </c>
      <c r="AA36" s="472" t="s">
        <v>749</v>
      </c>
    </row>
    <row r="37" spans="1:27" x14ac:dyDescent="0.2">
      <c r="A37" t="s">
        <v>925</v>
      </c>
      <c r="B37" t="s">
        <v>917</v>
      </c>
      <c r="C37" s="481">
        <f t="shared" ref="C37:AA37" si="13">((2^(1/12))^(C4+7-49))*440</f>
        <v>391.99543598174927</v>
      </c>
      <c r="D37" s="481">
        <f t="shared" si="13"/>
        <v>415.30469757994513</v>
      </c>
      <c r="E37" s="481">
        <f t="shared" si="13"/>
        <v>440</v>
      </c>
      <c r="F37" s="481">
        <f t="shared" si="13"/>
        <v>466.16376151808993</v>
      </c>
      <c r="G37" s="481">
        <f t="shared" si="13"/>
        <v>493.88330125612413</v>
      </c>
      <c r="H37" s="481">
        <f t="shared" si="13"/>
        <v>523.25113060119736</v>
      </c>
      <c r="I37" s="481">
        <f t="shared" si="13"/>
        <v>554.36526195374415</v>
      </c>
      <c r="J37" s="481">
        <f t="shared" si="13"/>
        <v>587.32953583481515</v>
      </c>
      <c r="K37" s="481">
        <f t="shared" si="13"/>
        <v>622.25396744416184</v>
      </c>
      <c r="L37" s="481">
        <f t="shared" si="13"/>
        <v>659.25511382573995</v>
      </c>
      <c r="M37" s="481">
        <f t="shared" si="13"/>
        <v>698.45646286600777</v>
      </c>
      <c r="N37" s="481">
        <f t="shared" si="13"/>
        <v>739.98884542326891</v>
      </c>
      <c r="O37" s="481">
        <f t="shared" si="13"/>
        <v>783.99087196349865</v>
      </c>
      <c r="P37" s="481">
        <f t="shared" si="13"/>
        <v>830.60939515989048</v>
      </c>
      <c r="Q37" s="481">
        <f t="shared" si="13"/>
        <v>880</v>
      </c>
      <c r="R37" s="481">
        <f t="shared" si="13"/>
        <v>932.32752303617985</v>
      </c>
      <c r="S37" s="481">
        <f t="shared" si="13"/>
        <v>987.76660251224848</v>
      </c>
      <c r="T37" s="481">
        <f t="shared" si="13"/>
        <v>1046.5022612023947</v>
      </c>
      <c r="U37" s="481">
        <f t="shared" si="13"/>
        <v>1108.7305239074885</v>
      </c>
      <c r="V37" s="481">
        <f t="shared" si="13"/>
        <v>1174.6590716696305</v>
      </c>
      <c r="W37" s="481">
        <f t="shared" si="13"/>
        <v>1244.5079348883239</v>
      </c>
      <c r="X37" s="481">
        <f t="shared" si="13"/>
        <v>1318.5102276514801</v>
      </c>
      <c r="Y37" s="481">
        <f t="shared" si="13"/>
        <v>1396.9129257320158</v>
      </c>
      <c r="Z37" s="481">
        <f t="shared" si="13"/>
        <v>1479.9776908465378</v>
      </c>
      <c r="AA37" s="481">
        <f t="shared" si="13"/>
        <v>1567.9817439269975</v>
      </c>
    </row>
    <row r="38" spans="1:27" x14ac:dyDescent="0.2">
      <c r="A38" t="s">
        <v>102</v>
      </c>
      <c r="B38" t="s">
        <v>906</v>
      </c>
      <c r="C38" s="483"/>
      <c r="D38" s="483"/>
      <c r="E38" s="483"/>
      <c r="F38" s="483"/>
      <c r="G38" s="483"/>
      <c r="H38" s="483"/>
      <c r="I38" s="483"/>
      <c r="J38" s="483"/>
      <c r="K38" s="483"/>
      <c r="L38" s="483"/>
      <c r="M38" s="483"/>
      <c r="N38" s="483"/>
      <c r="O38" s="483"/>
      <c r="P38" s="483"/>
      <c r="Q38" s="483"/>
      <c r="R38" s="483"/>
      <c r="S38" s="483"/>
      <c r="T38" s="483"/>
      <c r="U38" s="483"/>
      <c r="V38" s="483"/>
      <c r="W38" s="483"/>
      <c r="X38" s="483"/>
      <c r="Y38" s="483"/>
      <c r="Z38" s="483"/>
      <c r="AA38" s="483"/>
    </row>
    <row r="39" spans="1:27" x14ac:dyDescent="0.2">
      <c r="A39" t="s">
        <v>926</v>
      </c>
      <c r="B39" t="s">
        <v>906</v>
      </c>
      <c r="C39" s="482">
        <f t="shared" ref="C39:AA39" si="14">C19*C27/C37</f>
        <v>17.285915543964347</v>
      </c>
      <c r="D39" s="482">
        <f t="shared" si="14"/>
        <v>16.315731653133149</v>
      </c>
      <c r="E39" s="482">
        <f t="shared" si="14"/>
        <v>15.4</v>
      </c>
      <c r="F39" s="482">
        <f t="shared" si="14"/>
        <v>14.535664415298079</v>
      </c>
      <c r="G39" s="482">
        <f t="shared" si="14"/>
        <v>13.719840259361225</v>
      </c>
      <c r="H39" s="482">
        <f t="shared" si="14"/>
        <v>12.949804794907202</v>
      </c>
      <c r="I39" s="482">
        <f t="shared" si="14"/>
        <v>12.222988100155138</v>
      </c>
      <c r="J39" s="482">
        <f t="shared" si="14"/>
        <v>11.536964491950448</v>
      </c>
      <c r="K39" s="482">
        <f t="shared" si="14"/>
        <v>10.889444430272833</v>
      </c>
      <c r="L39" s="482">
        <f t="shared" si="14"/>
        <v>10.278266877109264</v>
      </c>
      <c r="M39" s="482">
        <f t="shared" si="14"/>
        <v>9.7013920841905232</v>
      </c>
      <c r="N39" s="482">
        <f t="shared" si="14"/>
        <v>9.1568947855209508</v>
      </c>
      <c r="O39" s="482">
        <f t="shared" si="14"/>
        <v>8.6429577719821715</v>
      </c>
      <c r="P39" s="482">
        <f t="shared" si="14"/>
        <v>8.1578658265665709</v>
      </c>
      <c r="Q39" s="482">
        <f t="shared" si="14"/>
        <v>7.7</v>
      </c>
      <c r="R39" s="482">
        <f t="shared" si="14"/>
        <v>7.2678322076490396</v>
      </c>
      <c r="S39" s="482">
        <f t="shared" si="14"/>
        <v>6.8599201296806109</v>
      </c>
      <c r="T39" s="482">
        <f t="shared" si="14"/>
        <v>6.4749023974536009</v>
      </c>
      <c r="U39" s="482">
        <f t="shared" si="14"/>
        <v>6.1114940500775674</v>
      </c>
      <c r="V39" s="482">
        <f t="shared" si="14"/>
        <v>5.7684822459752221</v>
      </c>
      <c r="W39" s="482">
        <f t="shared" si="14"/>
        <v>5.4447222151364141</v>
      </c>
      <c r="X39" s="482">
        <f t="shared" si="14"/>
        <v>5.139133438554631</v>
      </c>
      <c r="Y39" s="482">
        <f t="shared" si="14"/>
        <v>4.8506960420952607</v>
      </c>
      <c r="Z39" s="482">
        <f t="shared" si="14"/>
        <v>4.5784473927604754</v>
      </c>
      <c r="AA39" s="482">
        <f t="shared" si="14"/>
        <v>4.3214788859910849</v>
      </c>
    </row>
    <row r="40" spans="1:27" x14ac:dyDescent="0.2">
      <c r="A40" t="s">
        <v>962</v>
      </c>
      <c r="C40" s="472" t="s">
        <v>16</v>
      </c>
      <c r="D40" s="472" t="s">
        <v>17</v>
      </c>
      <c r="E40" s="472" t="s">
        <v>18</v>
      </c>
      <c r="F40" s="472" t="s">
        <v>19</v>
      </c>
      <c r="G40" s="472" t="s">
        <v>20</v>
      </c>
      <c r="H40" s="472" t="s">
        <v>35</v>
      </c>
      <c r="I40" s="472" t="s">
        <v>210</v>
      </c>
      <c r="J40" s="472" t="s">
        <v>211</v>
      </c>
      <c r="K40" s="472" t="s">
        <v>45</v>
      </c>
      <c r="L40" s="472" t="s">
        <v>212</v>
      </c>
      <c r="M40" s="472" t="s">
        <v>213</v>
      </c>
      <c r="N40" s="472" t="s">
        <v>725</v>
      </c>
      <c r="O40" s="472" t="s">
        <v>53</v>
      </c>
      <c r="P40" s="472" t="s">
        <v>734</v>
      </c>
      <c r="Q40" s="472" t="s">
        <v>737</v>
      </c>
      <c r="R40" s="472" t="s">
        <v>214</v>
      </c>
      <c r="S40" s="472" t="s">
        <v>740</v>
      </c>
      <c r="T40" s="472" t="s">
        <v>247</v>
      </c>
      <c r="U40" s="472" t="s">
        <v>744</v>
      </c>
      <c r="V40" s="472" t="s">
        <v>746</v>
      </c>
      <c r="W40" s="472" t="s">
        <v>259</v>
      </c>
      <c r="X40" s="472" t="s">
        <v>749</v>
      </c>
      <c r="Y40" s="472" t="s">
        <v>751</v>
      </c>
      <c r="Z40" s="472" t="s">
        <v>887</v>
      </c>
      <c r="AA40" s="472" t="s">
        <v>265</v>
      </c>
    </row>
    <row r="41" spans="1:27" x14ac:dyDescent="0.2">
      <c r="A41" t="s">
        <v>928</v>
      </c>
      <c r="B41" t="s">
        <v>917</v>
      </c>
      <c r="C41" s="481">
        <f t="shared" ref="C41:AA41" si="15">((2^(1/12))^(C4+10-49))*440</f>
        <v>466.16376151808993</v>
      </c>
      <c r="D41" s="481">
        <f t="shared" si="15"/>
        <v>493.88330125612413</v>
      </c>
      <c r="E41" s="481">
        <f t="shared" si="15"/>
        <v>523.25113060119736</v>
      </c>
      <c r="F41" s="481">
        <f t="shared" si="15"/>
        <v>554.36526195374415</v>
      </c>
      <c r="G41" s="481">
        <f t="shared" si="15"/>
        <v>587.32953583481515</v>
      </c>
      <c r="H41" s="481">
        <f t="shared" si="15"/>
        <v>622.25396744416184</v>
      </c>
      <c r="I41" s="481">
        <f t="shared" si="15"/>
        <v>659.25511382573995</v>
      </c>
      <c r="J41" s="481">
        <f t="shared" si="15"/>
        <v>698.45646286600777</v>
      </c>
      <c r="K41" s="481">
        <f t="shared" si="15"/>
        <v>739.98884542326891</v>
      </c>
      <c r="L41" s="481">
        <f t="shared" si="15"/>
        <v>783.99087196349865</v>
      </c>
      <c r="M41" s="481">
        <f t="shared" si="15"/>
        <v>830.60939515989048</v>
      </c>
      <c r="N41" s="481">
        <f t="shared" si="15"/>
        <v>880</v>
      </c>
      <c r="O41" s="481">
        <f t="shared" si="15"/>
        <v>932.32752303617985</v>
      </c>
      <c r="P41" s="481">
        <f t="shared" si="15"/>
        <v>987.76660251224848</v>
      </c>
      <c r="Q41" s="481">
        <f t="shared" si="15"/>
        <v>1046.5022612023947</v>
      </c>
      <c r="R41" s="481">
        <f t="shared" si="15"/>
        <v>1108.7305239074885</v>
      </c>
      <c r="S41" s="481">
        <f t="shared" si="15"/>
        <v>1174.6590716696305</v>
      </c>
      <c r="T41" s="481">
        <f t="shared" si="15"/>
        <v>1244.5079348883239</v>
      </c>
      <c r="U41" s="481">
        <f t="shared" si="15"/>
        <v>1318.5102276514801</v>
      </c>
      <c r="V41" s="481">
        <f t="shared" si="15"/>
        <v>1396.9129257320158</v>
      </c>
      <c r="W41" s="481">
        <f t="shared" si="15"/>
        <v>1479.9776908465378</v>
      </c>
      <c r="X41" s="481">
        <f t="shared" si="15"/>
        <v>1567.9817439269975</v>
      </c>
      <c r="Y41" s="481">
        <f t="shared" si="15"/>
        <v>1661.2187903197812</v>
      </c>
      <c r="Z41" s="481">
        <f t="shared" si="15"/>
        <v>1760.0000000000005</v>
      </c>
      <c r="AA41" s="481">
        <f t="shared" si="15"/>
        <v>1864.6550460723602</v>
      </c>
    </row>
    <row r="42" spans="1:27" x14ac:dyDescent="0.2">
      <c r="A42" t="s">
        <v>104</v>
      </c>
      <c r="B42" t="s">
        <v>906</v>
      </c>
      <c r="C42" s="483"/>
      <c r="D42" s="483"/>
      <c r="E42" s="483"/>
      <c r="F42" s="483"/>
      <c r="G42" s="483"/>
      <c r="H42" s="483"/>
      <c r="I42" s="483"/>
      <c r="J42" s="483"/>
      <c r="K42" s="483"/>
      <c r="L42" s="483"/>
      <c r="M42" s="483"/>
      <c r="N42" s="483"/>
      <c r="O42" s="483"/>
      <c r="P42" s="483"/>
      <c r="Q42" s="483"/>
      <c r="R42" s="483"/>
      <c r="S42" s="483"/>
      <c r="T42" s="483"/>
      <c r="U42" s="483"/>
      <c r="V42" s="483"/>
      <c r="W42" s="483"/>
      <c r="X42" s="483"/>
      <c r="Y42" s="483"/>
      <c r="Z42" s="483"/>
      <c r="AA42" s="483"/>
    </row>
    <row r="43" spans="1:27" x14ac:dyDescent="0.2">
      <c r="A43" t="s">
        <v>929</v>
      </c>
      <c r="B43" t="s">
        <v>906</v>
      </c>
      <c r="C43" s="482">
        <f t="shared" ref="C43:AA43" si="16">C19*C27/C41</f>
        <v>14.535664415298079</v>
      </c>
      <c r="D43" s="482">
        <f t="shared" si="16"/>
        <v>13.719840259361225</v>
      </c>
      <c r="E43" s="482">
        <f t="shared" si="16"/>
        <v>12.949804794907202</v>
      </c>
      <c r="F43" s="482">
        <f t="shared" si="16"/>
        <v>12.222988100155137</v>
      </c>
      <c r="G43" s="482">
        <f t="shared" si="16"/>
        <v>11.536964491950448</v>
      </c>
      <c r="H43" s="482">
        <f t="shared" si="16"/>
        <v>10.889444430272832</v>
      </c>
      <c r="I43" s="482">
        <f t="shared" si="16"/>
        <v>10.278266877109264</v>
      </c>
      <c r="J43" s="482">
        <f t="shared" si="16"/>
        <v>9.701392084190525</v>
      </c>
      <c r="K43" s="482">
        <f t="shared" si="16"/>
        <v>9.1568947855209526</v>
      </c>
      <c r="L43" s="482">
        <f t="shared" si="16"/>
        <v>8.6429577719821715</v>
      </c>
      <c r="M43" s="482">
        <f t="shared" si="16"/>
        <v>8.1578658265665709</v>
      </c>
      <c r="N43" s="482">
        <f t="shared" si="16"/>
        <v>7.7</v>
      </c>
      <c r="O43" s="482">
        <f t="shared" si="16"/>
        <v>7.2678322076490396</v>
      </c>
      <c r="P43" s="482">
        <f t="shared" si="16"/>
        <v>6.8599201296806109</v>
      </c>
      <c r="Q43" s="482">
        <f t="shared" si="16"/>
        <v>6.4749023974536009</v>
      </c>
      <c r="R43" s="482">
        <f t="shared" si="16"/>
        <v>6.1114940500775674</v>
      </c>
      <c r="S43" s="482">
        <f t="shared" si="16"/>
        <v>5.7684822459752221</v>
      </c>
      <c r="T43" s="482">
        <f t="shared" si="16"/>
        <v>5.444722215136415</v>
      </c>
      <c r="U43" s="482">
        <f t="shared" si="16"/>
        <v>5.139133438554631</v>
      </c>
      <c r="V43" s="482">
        <f t="shared" si="16"/>
        <v>4.8506960420952607</v>
      </c>
      <c r="W43" s="482">
        <f t="shared" si="16"/>
        <v>4.5784473927604745</v>
      </c>
      <c r="X43" s="482">
        <f t="shared" si="16"/>
        <v>4.3214788859910849</v>
      </c>
      <c r="Y43" s="482">
        <f t="shared" si="16"/>
        <v>4.0789329132832854</v>
      </c>
      <c r="Z43" s="482">
        <f t="shared" si="16"/>
        <v>3.8499999999999992</v>
      </c>
      <c r="AA43" s="482">
        <f t="shared" si="16"/>
        <v>3.6339161038245189</v>
      </c>
    </row>
    <row r="44" spans="1:27" x14ac:dyDescent="0.2">
      <c r="A44" t="s">
        <v>963</v>
      </c>
      <c r="C44" s="472" t="s">
        <v>18</v>
      </c>
      <c r="D44" s="472" t="s">
        <v>19</v>
      </c>
      <c r="E44" s="472" t="s">
        <v>20</v>
      </c>
      <c r="F44" s="472" t="s">
        <v>35</v>
      </c>
      <c r="G44" s="472" t="s">
        <v>210</v>
      </c>
      <c r="H44" s="472" t="s">
        <v>211</v>
      </c>
      <c r="I44" s="472" t="s">
        <v>45</v>
      </c>
      <c r="J44" s="472" t="s">
        <v>212</v>
      </c>
      <c r="K44" s="472" t="s">
        <v>213</v>
      </c>
      <c r="L44" s="472" t="s">
        <v>725</v>
      </c>
      <c r="M44" s="472" t="s">
        <v>53</v>
      </c>
      <c r="N44" s="472" t="s">
        <v>734</v>
      </c>
      <c r="O44" s="472" t="s">
        <v>737</v>
      </c>
      <c r="P44" s="472" t="s">
        <v>214</v>
      </c>
      <c r="Q44" s="472" t="s">
        <v>740</v>
      </c>
      <c r="R44" s="472" t="s">
        <v>247</v>
      </c>
      <c r="S44" s="472" t="s">
        <v>744</v>
      </c>
      <c r="T44" s="472" t="s">
        <v>746</v>
      </c>
      <c r="U44" s="472" t="s">
        <v>259</v>
      </c>
      <c r="V44" s="472" t="s">
        <v>749</v>
      </c>
      <c r="W44" s="472" t="s">
        <v>751</v>
      </c>
      <c r="X44" s="472" t="s">
        <v>887</v>
      </c>
      <c r="Y44" s="472" t="s">
        <v>265</v>
      </c>
      <c r="Z44" s="472" t="s">
        <v>888</v>
      </c>
      <c r="AA44" s="472" t="s">
        <v>889</v>
      </c>
    </row>
    <row r="45" spans="1:27" x14ac:dyDescent="0.2">
      <c r="A45" t="s">
        <v>964</v>
      </c>
      <c r="B45" t="s">
        <v>917</v>
      </c>
      <c r="C45" s="481">
        <f t="shared" ref="C45:AA45" si="17">((2^(1/12))^(C4+12-49))*440</f>
        <v>523.25113060119736</v>
      </c>
      <c r="D45" s="481">
        <f t="shared" si="17"/>
        <v>554.36526195374415</v>
      </c>
      <c r="E45" s="481">
        <f t="shared" si="17"/>
        <v>587.32953583481515</v>
      </c>
      <c r="F45" s="481">
        <f t="shared" si="17"/>
        <v>622.25396744416184</v>
      </c>
      <c r="G45" s="481">
        <f t="shared" si="17"/>
        <v>659.25511382573995</v>
      </c>
      <c r="H45" s="481">
        <f t="shared" si="17"/>
        <v>698.45646286600777</v>
      </c>
      <c r="I45" s="481">
        <f t="shared" si="17"/>
        <v>739.98884542326891</v>
      </c>
      <c r="J45" s="481">
        <f t="shared" si="17"/>
        <v>783.99087196349865</v>
      </c>
      <c r="K45" s="481">
        <f t="shared" si="17"/>
        <v>830.60939515989048</v>
      </c>
      <c r="L45" s="481">
        <f t="shared" si="17"/>
        <v>880</v>
      </c>
      <c r="M45" s="481">
        <f t="shared" si="17"/>
        <v>932.32752303617985</v>
      </c>
      <c r="N45" s="481">
        <f t="shared" si="17"/>
        <v>987.76660251224848</v>
      </c>
      <c r="O45" s="481">
        <f t="shared" si="17"/>
        <v>1046.5022612023947</v>
      </c>
      <c r="P45" s="481">
        <f t="shared" si="17"/>
        <v>1108.7305239074885</v>
      </c>
      <c r="Q45" s="481">
        <f t="shared" si="17"/>
        <v>1174.6590716696305</v>
      </c>
      <c r="R45" s="481">
        <f t="shared" si="17"/>
        <v>1244.5079348883239</v>
      </c>
      <c r="S45" s="481">
        <f t="shared" si="17"/>
        <v>1318.5102276514801</v>
      </c>
      <c r="T45" s="481">
        <f t="shared" si="17"/>
        <v>1396.9129257320158</v>
      </c>
      <c r="U45" s="481">
        <f t="shared" si="17"/>
        <v>1479.9776908465378</v>
      </c>
      <c r="V45" s="481">
        <f t="shared" si="17"/>
        <v>1567.9817439269975</v>
      </c>
      <c r="W45" s="481">
        <f t="shared" si="17"/>
        <v>1661.2187903197812</v>
      </c>
      <c r="X45" s="481">
        <f t="shared" si="17"/>
        <v>1760.0000000000005</v>
      </c>
      <c r="Y45" s="481">
        <f t="shared" si="17"/>
        <v>1864.6550460723602</v>
      </c>
      <c r="Z45" s="481">
        <f t="shared" si="17"/>
        <v>1975.533205024497</v>
      </c>
      <c r="AA45" s="481">
        <f t="shared" si="17"/>
        <v>2093.0045224047904</v>
      </c>
    </row>
    <row r="46" spans="1:27" x14ac:dyDescent="0.2">
      <c r="A46" t="s">
        <v>965</v>
      </c>
      <c r="B46" t="s">
        <v>906</v>
      </c>
      <c r="C46" s="483"/>
      <c r="D46" s="483"/>
      <c r="E46" s="483"/>
      <c r="F46" s="483"/>
      <c r="G46" s="483"/>
      <c r="H46" s="483"/>
      <c r="I46" s="483"/>
      <c r="J46" s="483"/>
      <c r="K46" s="483"/>
      <c r="L46" s="483"/>
      <c r="M46" s="483"/>
      <c r="N46" s="483"/>
      <c r="O46" s="483"/>
      <c r="P46" s="483"/>
      <c r="Q46" s="483"/>
      <c r="R46" s="483"/>
      <c r="S46" s="483"/>
      <c r="T46" s="483"/>
      <c r="U46" s="483"/>
      <c r="V46" s="483"/>
      <c r="W46" s="483"/>
      <c r="X46" s="483"/>
      <c r="Y46" s="483"/>
      <c r="Z46" s="483"/>
      <c r="AA46" s="483"/>
    </row>
    <row r="47" spans="1:27" x14ac:dyDescent="0.2">
      <c r="A47" t="s">
        <v>966</v>
      </c>
      <c r="B47" t="s">
        <v>906</v>
      </c>
      <c r="C47" s="482">
        <f t="shared" ref="C47:AA47" si="18">C19*C27/C45</f>
        <v>12.949804794907202</v>
      </c>
      <c r="D47" s="482">
        <f t="shared" si="18"/>
        <v>12.222988100155137</v>
      </c>
      <c r="E47" s="482">
        <f t="shared" si="18"/>
        <v>11.536964491950448</v>
      </c>
      <c r="F47" s="482">
        <f t="shared" si="18"/>
        <v>10.889444430272832</v>
      </c>
      <c r="G47" s="482">
        <f t="shared" si="18"/>
        <v>10.278266877109264</v>
      </c>
      <c r="H47" s="482">
        <f t="shared" si="18"/>
        <v>9.7013920841905232</v>
      </c>
      <c r="I47" s="482">
        <f t="shared" si="18"/>
        <v>9.1568947855209526</v>
      </c>
      <c r="J47" s="482">
        <f t="shared" si="18"/>
        <v>8.6429577719821733</v>
      </c>
      <c r="K47" s="482">
        <f t="shared" si="18"/>
        <v>8.1578658265665727</v>
      </c>
      <c r="L47" s="482">
        <f t="shared" si="18"/>
        <v>7.7</v>
      </c>
      <c r="M47" s="482">
        <f t="shared" si="18"/>
        <v>7.2678322076490396</v>
      </c>
      <c r="N47" s="482">
        <f t="shared" si="18"/>
        <v>6.8599201296806109</v>
      </c>
      <c r="O47" s="482">
        <f t="shared" si="18"/>
        <v>6.4749023974536009</v>
      </c>
      <c r="P47" s="482">
        <f t="shared" si="18"/>
        <v>6.1114940500775674</v>
      </c>
      <c r="Q47" s="482">
        <f t="shared" si="18"/>
        <v>5.7684822459752221</v>
      </c>
      <c r="R47" s="482">
        <f t="shared" si="18"/>
        <v>5.444722215136415</v>
      </c>
      <c r="S47" s="482">
        <f t="shared" si="18"/>
        <v>5.139133438554631</v>
      </c>
      <c r="T47" s="482">
        <f t="shared" si="18"/>
        <v>4.8506960420952607</v>
      </c>
      <c r="U47" s="482">
        <f t="shared" si="18"/>
        <v>4.5784473927604754</v>
      </c>
      <c r="V47" s="482">
        <f t="shared" si="18"/>
        <v>4.3214788859910849</v>
      </c>
      <c r="W47" s="482">
        <f t="shared" si="18"/>
        <v>4.0789329132832846</v>
      </c>
      <c r="X47" s="482">
        <f t="shared" si="18"/>
        <v>3.8499999999999992</v>
      </c>
      <c r="Y47" s="482">
        <f t="shared" si="18"/>
        <v>3.6339161038245189</v>
      </c>
      <c r="Z47" s="482">
        <f t="shared" si="18"/>
        <v>3.4299600648403055</v>
      </c>
      <c r="AA47" s="482">
        <f t="shared" si="18"/>
        <v>3.2374511987267991</v>
      </c>
    </row>
    <row r="50" spans="1:1" ht="18" x14ac:dyDescent="0.25">
      <c r="A50" s="833" t="s">
        <v>6534</v>
      </c>
    </row>
    <row r="51" spans="1:1" x14ac:dyDescent="0.2">
      <c r="A51" s="734" t="s">
        <v>6535</v>
      </c>
    </row>
    <row r="53" spans="1:1" x14ac:dyDescent="0.2">
      <c r="A53" s="609" t="s">
        <v>6324</v>
      </c>
    </row>
    <row r="54" spans="1:1" x14ac:dyDescent="0.2">
      <c r="A54" t="s">
        <v>6536</v>
      </c>
    </row>
    <row r="55" spans="1:1" x14ac:dyDescent="0.2">
      <c r="A55" s="759" t="s">
        <v>6537</v>
      </c>
    </row>
    <row r="56" spans="1:1" x14ac:dyDescent="0.2">
      <c r="A56" t="s">
        <v>6538</v>
      </c>
    </row>
    <row r="58" spans="1:1" x14ac:dyDescent="0.2">
      <c r="A58" s="609" t="s">
        <v>6328</v>
      </c>
    </row>
    <row r="59" spans="1:1" x14ac:dyDescent="0.2">
      <c r="A59" t="s">
        <v>6539</v>
      </c>
    </row>
    <row r="60" spans="1:1" x14ac:dyDescent="0.2">
      <c r="A60" t="s">
        <v>6540</v>
      </c>
    </row>
    <row r="61" spans="1:1" x14ac:dyDescent="0.2">
      <c r="A61" t="s">
        <v>6541</v>
      </c>
    </row>
    <row r="62" spans="1:1" x14ac:dyDescent="0.2">
      <c r="A62" t="s">
        <v>6542</v>
      </c>
    </row>
    <row r="64" spans="1:1" x14ac:dyDescent="0.2">
      <c r="A64" s="609" t="s">
        <v>6287</v>
      </c>
    </row>
    <row r="65" spans="1:1" x14ac:dyDescent="0.2">
      <c r="A65" t="s">
        <v>6543</v>
      </c>
    </row>
    <row r="66" spans="1:1" x14ac:dyDescent="0.2">
      <c r="A66" t="s">
        <v>6544</v>
      </c>
    </row>
    <row r="67" spans="1:1" x14ac:dyDescent="0.2">
      <c r="A67" t="s">
        <v>6545</v>
      </c>
    </row>
    <row r="69" spans="1:1" x14ac:dyDescent="0.2">
      <c r="A69" s="609" t="s">
        <v>6420</v>
      </c>
    </row>
    <row r="70" spans="1:1" x14ac:dyDescent="0.2">
      <c r="A70" t="s">
        <v>6546</v>
      </c>
    </row>
    <row r="71" spans="1:1" x14ac:dyDescent="0.2">
      <c r="A71" t="s">
        <v>6547</v>
      </c>
    </row>
    <row r="72" spans="1:1" x14ac:dyDescent="0.2">
      <c r="A72" t="s">
        <v>6548</v>
      </c>
    </row>
    <row r="73" spans="1:1" x14ac:dyDescent="0.2">
      <c r="A73" t="s">
        <v>6549</v>
      </c>
    </row>
    <row r="75" spans="1:1" x14ac:dyDescent="0.2">
      <c r="A75" s="609" t="s">
        <v>6455</v>
      </c>
    </row>
    <row r="76" spans="1:1" x14ac:dyDescent="0.2">
      <c r="A76" t="s">
        <v>6550</v>
      </c>
    </row>
    <row r="77" spans="1:1" x14ac:dyDescent="0.2">
      <c r="A77" t="s">
        <v>6551</v>
      </c>
    </row>
    <row r="79" spans="1:1" x14ac:dyDescent="0.2">
      <c r="A79" s="609" t="s">
        <v>6458</v>
      </c>
    </row>
    <row r="80" spans="1:1" x14ac:dyDescent="0.2">
      <c r="A80" t="s">
        <v>6552</v>
      </c>
    </row>
    <row r="81" spans="1:1" x14ac:dyDescent="0.2">
      <c r="A81" t="s">
        <v>6553</v>
      </c>
    </row>
    <row r="82" spans="1:1" x14ac:dyDescent="0.2">
      <c r="A82" t="s">
        <v>6554</v>
      </c>
    </row>
    <row r="84" spans="1:1" x14ac:dyDescent="0.2">
      <c r="A84" s="609" t="s">
        <v>6528</v>
      </c>
    </row>
    <row r="85" spans="1:1" x14ac:dyDescent="0.2">
      <c r="A85" t="s">
        <v>6555</v>
      </c>
    </row>
    <row r="86" spans="1:1" x14ac:dyDescent="0.2">
      <c r="A86" t="s">
        <v>6556</v>
      </c>
    </row>
    <row r="87" spans="1:1" x14ac:dyDescent="0.2">
      <c r="A87" t="s">
        <v>6557</v>
      </c>
    </row>
    <row r="88" spans="1:1" x14ac:dyDescent="0.2">
      <c r="A88" t="s">
        <v>6558</v>
      </c>
    </row>
    <row r="90" spans="1:1" x14ac:dyDescent="0.2">
      <c r="A90" s="609" t="s">
        <v>6467</v>
      </c>
    </row>
    <row r="91" spans="1:1" x14ac:dyDescent="0.2">
      <c r="A91" t="s">
        <v>6559</v>
      </c>
    </row>
    <row r="92" spans="1:1" x14ac:dyDescent="0.2">
      <c r="A92" t="s">
        <v>6560</v>
      </c>
    </row>
    <row r="95" spans="1:1" ht="18" x14ac:dyDescent="0.25">
      <c r="A95" s="838" t="s">
        <v>7185</v>
      </c>
    </row>
    <row r="96" spans="1:1" x14ac:dyDescent="0.2">
      <c r="A96" s="734" t="s">
        <v>7131</v>
      </c>
    </row>
    <row r="98" spans="1:1" x14ac:dyDescent="0.2">
      <c r="A98" s="839" t="s">
        <v>7132</v>
      </c>
    </row>
    <row r="99" spans="1:1" x14ac:dyDescent="0.2">
      <c r="A99" t="s">
        <v>7186</v>
      </c>
    </row>
    <row r="100" spans="1:1" x14ac:dyDescent="0.2">
      <c r="A100" t="s">
        <v>7187</v>
      </c>
    </row>
    <row r="101" spans="1:1" x14ac:dyDescent="0.2">
      <c r="A101" t="s">
        <v>7188</v>
      </c>
    </row>
    <row r="102" spans="1:1" x14ac:dyDescent="0.2">
      <c r="A102" t="s">
        <v>7189</v>
      </c>
    </row>
    <row r="103" spans="1:1" x14ac:dyDescent="0.2">
      <c r="A103" t="s">
        <v>7190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EC0CC-AAD4-4E4A-9B07-B478019F2544}">
  <dimension ref="A1:AA91"/>
  <sheetViews>
    <sheetView workbookViewId="0">
      <selection activeCell="A58" sqref="A58:A81"/>
    </sheetView>
  </sheetViews>
  <sheetFormatPr defaultRowHeight="12.75" x14ac:dyDescent="0.2"/>
  <cols>
    <col min="1" max="1" width="137.140625" customWidth="1"/>
    <col min="2" max="2" width="7.5703125" customWidth="1"/>
    <col min="3" max="27" width="12.42578125" customWidth="1"/>
  </cols>
  <sheetData>
    <row r="1" spans="1:27" ht="18" x14ac:dyDescent="0.25">
      <c r="A1" s="470" t="s">
        <v>967</v>
      </c>
      <c r="C1" s="472" t="s">
        <v>903</v>
      </c>
    </row>
    <row r="2" spans="1:27" x14ac:dyDescent="0.2">
      <c r="A2" s="471" t="s">
        <v>203</v>
      </c>
      <c r="B2" s="471" t="s">
        <v>902</v>
      </c>
      <c r="C2" s="473">
        <v>42</v>
      </c>
      <c r="D2" s="473">
        <v>43</v>
      </c>
      <c r="E2" s="473">
        <v>44</v>
      </c>
      <c r="F2" s="473">
        <v>45</v>
      </c>
      <c r="G2" s="473">
        <v>46</v>
      </c>
      <c r="H2" s="473">
        <v>47</v>
      </c>
      <c r="I2" s="473">
        <v>48</v>
      </c>
      <c r="J2" s="473">
        <v>49</v>
      </c>
      <c r="K2" s="473">
        <v>50</v>
      </c>
      <c r="L2" s="473">
        <v>51</v>
      </c>
      <c r="M2" s="473">
        <v>52</v>
      </c>
      <c r="N2" s="473">
        <v>53</v>
      </c>
      <c r="O2" s="473">
        <v>54</v>
      </c>
      <c r="P2" s="473">
        <v>55</v>
      </c>
      <c r="Q2" s="473">
        <v>56</v>
      </c>
      <c r="R2" s="473">
        <v>57</v>
      </c>
      <c r="S2" s="473">
        <v>58</v>
      </c>
      <c r="T2" s="473">
        <v>59</v>
      </c>
      <c r="U2" s="473">
        <v>60</v>
      </c>
      <c r="V2" s="473">
        <v>61</v>
      </c>
      <c r="W2" s="473">
        <v>62</v>
      </c>
      <c r="X2" s="473">
        <v>63</v>
      </c>
      <c r="Y2" s="473">
        <v>64</v>
      </c>
      <c r="Z2" s="473">
        <v>65</v>
      </c>
      <c r="AA2" s="473">
        <v>66</v>
      </c>
    </row>
    <row r="3" spans="1:27" x14ac:dyDescent="0.2">
      <c r="A3" s="472" t="s">
        <v>904</v>
      </c>
      <c r="C3" s="472" t="s">
        <v>8</v>
      </c>
      <c r="D3" s="472" t="s">
        <v>9</v>
      </c>
      <c r="E3" s="472" t="s">
        <v>10</v>
      </c>
      <c r="F3" s="472" t="s">
        <v>240</v>
      </c>
      <c r="G3" s="472" t="s">
        <v>12</v>
      </c>
      <c r="H3" s="472" t="s">
        <v>13</v>
      </c>
      <c r="I3" s="472" t="s">
        <v>14</v>
      </c>
      <c r="J3" s="472" t="s">
        <v>15</v>
      </c>
      <c r="K3" s="472" t="s">
        <v>16</v>
      </c>
      <c r="L3" s="472" t="s">
        <v>17</v>
      </c>
      <c r="M3" s="472" t="s">
        <v>18</v>
      </c>
      <c r="N3" s="472" t="s">
        <v>19</v>
      </c>
      <c r="O3" s="472" t="s">
        <v>20</v>
      </c>
      <c r="P3" s="472" t="s">
        <v>35</v>
      </c>
      <c r="Q3" s="472" t="s">
        <v>210</v>
      </c>
      <c r="R3" s="472" t="s">
        <v>211</v>
      </c>
      <c r="S3" s="472" t="s">
        <v>45</v>
      </c>
      <c r="T3" s="472" t="s">
        <v>212</v>
      </c>
      <c r="U3" s="472" t="s">
        <v>213</v>
      </c>
      <c r="V3" s="472" t="s">
        <v>725</v>
      </c>
      <c r="W3" s="472" t="s">
        <v>53</v>
      </c>
      <c r="X3" s="472" t="s">
        <v>734</v>
      </c>
      <c r="Y3" s="472" t="s">
        <v>737</v>
      </c>
      <c r="Z3" s="472" t="s">
        <v>214</v>
      </c>
      <c r="AA3" s="472" t="s">
        <v>740</v>
      </c>
    </row>
    <row r="4" spans="1:27" x14ac:dyDescent="0.2">
      <c r="A4" t="s">
        <v>1</v>
      </c>
      <c r="C4">
        <v>42</v>
      </c>
      <c r="D4">
        <v>43</v>
      </c>
      <c r="E4">
        <v>44</v>
      </c>
      <c r="F4">
        <v>45</v>
      </c>
      <c r="G4">
        <v>46</v>
      </c>
      <c r="H4">
        <v>47</v>
      </c>
      <c r="I4">
        <v>48</v>
      </c>
      <c r="J4">
        <v>49</v>
      </c>
      <c r="K4">
        <v>50</v>
      </c>
      <c r="L4">
        <v>51</v>
      </c>
      <c r="M4">
        <v>52</v>
      </c>
      <c r="N4">
        <v>53</v>
      </c>
      <c r="O4">
        <v>54</v>
      </c>
      <c r="P4">
        <v>55</v>
      </c>
      <c r="Q4">
        <v>56</v>
      </c>
      <c r="R4">
        <v>57</v>
      </c>
      <c r="S4">
        <v>58</v>
      </c>
      <c r="T4">
        <v>59</v>
      </c>
      <c r="U4">
        <v>60</v>
      </c>
      <c r="V4">
        <v>61</v>
      </c>
      <c r="W4">
        <v>62</v>
      </c>
      <c r="X4">
        <v>63</v>
      </c>
      <c r="Y4">
        <v>64</v>
      </c>
      <c r="Z4">
        <v>65</v>
      </c>
      <c r="AA4">
        <v>66</v>
      </c>
    </row>
    <row r="5" spans="1:27" x14ac:dyDescent="0.2">
      <c r="A5" s="474"/>
      <c r="B5" s="474"/>
      <c r="C5" s="474"/>
      <c r="D5" s="474"/>
      <c r="E5" s="474"/>
      <c r="F5" s="474"/>
      <c r="G5" s="474"/>
      <c r="H5" s="474"/>
      <c r="I5" s="474"/>
      <c r="J5" s="474"/>
      <c r="K5" s="474"/>
      <c r="L5" s="474"/>
      <c r="M5" s="474"/>
      <c r="N5" s="474"/>
      <c r="O5" s="474"/>
      <c r="P5" s="474"/>
      <c r="Q5" s="474"/>
      <c r="R5" s="474"/>
      <c r="S5" s="474"/>
      <c r="T5" s="474"/>
      <c r="U5" s="474"/>
      <c r="V5" s="474"/>
      <c r="W5" s="474"/>
      <c r="X5" s="474"/>
      <c r="Y5" s="474"/>
      <c r="Z5" s="474"/>
      <c r="AA5" s="474"/>
    </row>
    <row r="6" spans="1:27" x14ac:dyDescent="0.2">
      <c r="A6" s="475" t="s">
        <v>905</v>
      </c>
      <c r="B6" s="474"/>
      <c r="C6" s="474"/>
      <c r="D6" s="474"/>
      <c r="E6" s="474"/>
      <c r="F6" s="474"/>
      <c r="G6" s="474"/>
      <c r="H6" s="474"/>
      <c r="I6" s="474"/>
      <c r="J6" s="474"/>
      <c r="K6" s="474"/>
      <c r="L6" s="474"/>
      <c r="M6" s="474"/>
      <c r="N6" s="474"/>
      <c r="O6" s="474"/>
      <c r="P6" s="474"/>
      <c r="Q6" s="474"/>
      <c r="R6" s="474"/>
      <c r="S6" s="474"/>
      <c r="T6" s="474"/>
      <c r="U6" s="474"/>
      <c r="V6" s="474"/>
      <c r="W6" s="474"/>
      <c r="X6" s="474"/>
      <c r="Y6" s="474"/>
      <c r="Z6" s="474"/>
      <c r="AA6" s="474"/>
    </row>
    <row r="7" spans="1:27" x14ac:dyDescent="0.2">
      <c r="A7" t="s">
        <v>215</v>
      </c>
      <c r="B7" t="s">
        <v>906</v>
      </c>
      <c r="C7" s="482">
        <f t="shared" ref="C7:AA7" si="0">C22+C17</f>
        <v>23.2989289839009</v>
      </c>
      <c r="D7" s="482">
        <f t="shared" si="0"/>
        <v>22.003888860545668</v>
      </c>
      <c r="E7" s="482">
        <f t="shared" si="0"/>
        <v>20.781533754218533</v>
      </c>
      <c r="F7" s="482">
        <f t="shared" si="0"/>
        <v>19.627784168381048</v>
      </c>
      <c r="G7" s="482">
        <f t="shared" si="0"/>
        <v>18.613789571041909</v>
      </c>
      <c r="H7" s="482">
        <f t="shared" si="0"/>
        <v>17.585915543964347</v>
      </c>
      <c r="I7" s="482">
        <f t="shared" si="0"/>
        <v>16.61573165313315</v>
      </c>
      <c r="J7" s="482">
        <f t="shared" si="0"/>
        <v>15.700000000000001</v>
      </c>
      <c r="K7" s="482">
        <f t="shared" si="0"/>
        <v>14.910664415298079</v>
      </c>
      <c r="L7" s="482">
        <f t="shared" si="0"/>
        <v>14.094840259361225</v>
      </c>
      <c r="M7" s="482">
        <f t="shared" si="0"/>
        <v>13.324804794907202</v>
      </c>
      <c r="N7" s="482">
        <f t="shared" si="0"/>
        <v>12.597988100155137</v>
      </c>
      <c r="O7" s="482">
        <f t="shared" si="0"/>
        <v>11.911964491950448</v>
      </c>
      <c r="P7" s="482">
        <f t="shared" si="0"/>
        <v>11.339444430272831</v>
      </c>
      <c r="Q7" s="482">
        <f t="shared" si="0"/>
        <v>10.728266877109263</v>
      </c>
      <c r="R7" s="482">
        <f t="shared" si="0"/>
        <v>10.151392084190523</v>
      </c>
      <c r="S7" s="482">
        <f t="shared" si="0"/>
        <v>9.6068947855209501</v>
      </c>
      <c r="T7" s="482">
        <f t="shared" si="0"/>
        <v>9.0929577719821708</v>
      </c>
      <c r="U7" s="482">
        <f t="shared" si="0"/>
        <v>8.6450658265665705</v>
      </c>
      <c r="V7" s="482">
        <f t="shared" si="0"/>
        <v>8.1872000000000007</v>
      </c>
      <c r="W7" s="482">
        <f t="shared" si="0"/>
        <v>7.7550322076490392</v>
      </c>
      <c r="X7" s="482">
        <f t="shared" si="0"/>
        <v>7.3471201296806106</v>
      </c>
      <c r="Y7" s="482">
        <f t="shared" si="0"/>
        <v>6.9621023974536005</v>
      </c>
      <c r="Z7" s="482">
        <f t="shared" si="0"/>
        <v>6.598694050077567</v>
      </c>
      <c r="AA7" s="482">
        <f t="shared" si="0"/>
        <v>6.2556822459752217</v>
      </c>
    </row>
    <row r="8" spans="1:27" x14ac:dyDescent="0.2">
      <c r="A8" t="s">
        <v>216</v>
      </c>
      <c r="B8" t="s">
        <v>906</v>
      </c>
      <c r="C8" s="482">
        <f t="shared" ref="C8:AA8" si="1">C12+0.25</f>
        <v>1.5009999999999999</v>
      </c>
      <c r="D8" s="482">
        <f t="shared" si="1"/>
        <v>1.5009999999999999</v>
      </c>
      <c r="E8" s="482">
        <f t="shared" si="1"/>
        <v>1.5009999999999999</v>
      </c>
      <c r="F8" s="482">
        <f t="shared" si="1"/>
        <v>1.5009999999999999</v>
      </c>
      <c r="G8" s="482">
        <f t="shared" si="1"/>
        <v>1.3759999999999999</v>
      </c>
      <c r="H8" s="482">
        <f t="shared" si="1"/>
        <v>1.3759999999999999</v>
      </c>
      <c r="I8" s="482">
        <f t="shared" si="1"/>
        <v>1.3759999999999999</v>
      </c>
      <c r="J8" s="482">
        <f t="shared" si="1"/>
        <v>1.3759999999999999</v>
      </c>
      <c r="K8" s="482">
        <f t="shared" si="1"/>
        <v>1.2509999999999999</v>
      </c>
      <c r="L8" s="482">
        <f t="shared" si="1"/>
        <v>1.2509999999999999</v>
      </c>
      <c r="M8" s="482">
        <f t="shared" si="1"/>
        <v>1.2509999999999999</v>
      </c>
      <c r="N8" s="482">
        <f t="shared" si="1"/>
        <v>1.2509999999999999</v>
      </c>
      <c r="O8" s="482">
        <f t="shared" si="1"/>
        <v>1.2509999999999999</v>
      </c>
      <c r="P8" s="482">
        <f t="shared" si="1"/>
        <v>1</v>
      </c>
      <c r="Q8" s="482">
        <f t="shared" si="1"/>
        <v>1</v>
      </c>
      <c r="R8" s="482">
        <f t="shared" si="1"/>
        <v>1</v>
      </c>
      <c r="S8" s="482">
        <f t="shared" si="1"/>
        <v>1</v>
      </c>
      <c r="T8" s="482">
        <f t="shared" si="1"/>
        <v>1</v>
      </c>
      <c r="U8" s="482">
        <f t="shared" si="1"/>
        <v>0.93799999999999994</v>
      </c>
      <c r="V8" s="482">
        <f t="shared" si="1"/>
        <v>0.93799999999999994</v>
      </c>
      <c r="W8" s="482">
        <f t="shared" si="1"/>
        <v>0.93799999999999994</v>
      </c>
      <c r="X8" s="482">
        <f t="shared" si="1"/>
        <v>0.93799999999999994</v>
      </c>
      <c r="Y8" s="482">
        <f t="shared" si="1"/>
        <v>0.93799999999999994</v>
      </c>
      <c r="Z8" s="482">
        <f t="shared" si="1"/>
        <v>0.93799999999999994</v>
      </c>
      <c r="AA8" s="482">
        <f t="shared" si="1"/>
        <v>0.93799999999999994</v>
      </c>
    </row>
    <row r="9" spans="1:27" x14ac:dyDescent="0.2">
      <c r="A9" t="s">
        <v>217</v>
      </c>
      <c r="B9" t="s">
        <v>906</v>
      </c>
      <c r="C9" s="482">
        <f t="shared" ref="C9:AA9" si="2">C12+0.25</f>
        <v>1.5009999999999999</v>
      </c>
      <c r="D9" s="482">
        <f t="shared" si="2"/>
        <v>1.5009999999999999</v>
      </c>
      <c r="E9" s="482">
        <f t="shared" si="2"/>
        <v>1.5009999999999999</v>
      </c>
      <c r="F9" s="482">
        <f t="shared" si="2"/>
        <v>1.5009999999999999</v>
      </c>
      <c r="G9" s="482">
        <f t="shared" si="2"/>
        <v>1.3759999999999999</v>
      </c>
      <c r="H9" s="482">
        <f t="shared" si="2"/>
        <v>1.3759999999999999</v>
      </c>
      <c r="I9" s="482">
        <f t="shared" si="2"/>
        <v>1.3759999999999999</v>
      </c>
      <c r="J9" s="482">
        <f t="shared" si="2"/>
        <v>1.3759999999999999</v>
      </c>
      <c r="K9" s="482">
        <f t="shared" si="2"/>
        <v>1.2509999999999999</v>
      </c>
      <c r="L9" s="482">
        <f t="shared" si="2"/>
        <v>1.2509999999999999</v>
      </c>
      <c r="M9" s="482">
        <f t="shared" si="2"/>
        <v>1.2509999999999999</v>
      </c>
      <c r="N9" s="482">
        <f t="shared" si="2"/>
        <v>1.2509999999999999</v>
      </c>
      <c r="O9" s="482">
        <f t="shared" si="2"/>
        <v>1.2509999999999999</v>
      </c>
      <c r="P9" s="482">
        <f t="shared" si="2"/>
        <v>1</v>
      </c>
      <c r="Q9" s="482">
        <f t="shared" si="2"/>
        <v>1</v>
      </c>
      <c r="R9" s="482">
        <f t="shared" si="2"/>
        <v>1</v>
      </c>
      <c r="S9" s="482">
        <f t="shared" si="2"/>
        <v>1</v>
      </c>
      <c r="T9" s="482">
        <f t="shared" si="2"/>
        <v>1</v>
      </c>
      <c r="U9" s="482">
        <f t="shared" si="2"/>
        <v>0.93799999999999994</v>
      </c>
      <c r="V9" s="482">
        <f t="shared" si="2"/>
        <v>0.93799999999999994</v>
      </c>
      <c r="W9" s="482">
        <f t="shared" si="2"/>
        <v>0.93799999999999994</v>
      </c>
      <c r="X9" s="482">
        <f t="shared" si="2"/>
        <v>0.93799999999999994</v>
      </c>
      <c r="Y9" s="482">
        <f t="shared" si="2"/>
        <v>0.93799999999999994</v>
      </c>
      <c r="Z9" s="482">
        <f t="shared" si="2"/>
        <v>0.93799999999999994</v>
      </c>
      <c r="AA9" s="482">
        <f t="shared" si="2"/>
        <v>0.93799999999999994</v>
      </c>
    </row>
    <row r="10" spans="1:27" x14ac:dyDescent="0.2">
      <c r="A10" s="476" t="s">
        <v>80</v>
      </c>
      <c r="B10" t="s">
        <v>906</v>
      </c>
      <c r="C10" s="483">
        <v>0.875</v>
      </c>
      <c r="D10" s="483">
        <v>0.875</v>
      </c>
      <c r="E10" s="483">
        <v>0.875</v>
      </c>
      <c r="F10" s="483">
        <v>0.875</v>
      </c>
      <c r="G10" s="483">
        <v>0.75</v>
      </c>
      <c r="H10" s="483">
        <v>0.75</v>
      </c>
      <c r="I10" s="483">
        <v>0.75</v>
      </c>
      <c r="J10" s="483">
        <v>0.75</v>
      </c>
      <c r="K10" s="483">
        <v>0.625</v>
      </c>
      <c r="L10" s="483">
        <v>0.625</v>
      </c>
      <c r="M10" s="483">
        <v>0.625</v>
      </c>
      <c r="N10" s="483">
        <v>0.625</v>
      </c>
      <c r="O10" s="483">
        <v>0.625</v>
      </c>
      <c r="P10" s="483">
        <v>0.5</v>
      </c>
      <c r="Q10" s="483">
        <v>0.5</v>
      </c>
      <c r="R10" s="483">
        <v>0.5</v>
      </c>
      <c r="S10" s="483">
        <v>0.5</v>
      </c>
      <c r="T10" s="483">
        <v>0.5</v>
      </c>
      <c r="U10" s="483">
        <v>0.438</v>
      </c>
      <c r="V10" s="483">
        <v>0.438</v>
      </c>
      <c r="W10" s="483">
        <v>0.438</v>
      </c>
      <c r="X10" s="483">
        <v>0.438</v>
      </c>
      <c r="Y10" s="483">
        <v>0.438</v>
      </c>
      <c r="Z10" s="483">
        <v>0.438</v>
      </c>
      <c r="AA10" s="483">
        <v>0.438</v>
      </c>
    </row>
    <row r="11" spans="1:27" x14ac:dyDescent="0.2">
      <c r="A11" s="476" t="s">
        <v>226</v>
      </c>
      <c r="B11" t="s">
        <v>906</v>
      </c>
      <c r="C11" s="483">
        <v>0.188</v>
      </c>
      <c r="D11" s="483">
        <v>0.188</v>
      </c>
      <c r="E11" s="483">
        <v>0.188</v>
      </c>
      <c r="F11" s="483">
        <v>0.188</v>
      </c>
      <c r="G11" s="483">
        <v>0.188</v>
      </c>
      <c r="H11" s="483">
        <v>0.188</v>
      </c>
      <c r="I11" s="483">
        <v>0.188</v>
      </c>
      <c r="J11" s="483">
        <v>0.188</v>
      </c>
      <c r="K11" s="483">
        <v>0.188</v>
      </c>
      <c r="L11" s="483">
        <v>0.188</v>
      </c>
      <c r="M11" s="483">
        <v>0.188</v>
      </c>
      <c r="N11" s="483">
        <v>0.188</v>
      </c>
      <c r="O11" s="483">
        <v>0.188</v>
      </c>
      <c r="P11" s="483">
        <v>0.125</v>
      </c>
      <c r="Q11" s="483">
        <v>0.125</v>
      </c>
      <c r="R11" s="483">
        <v>0.125</v>
      </c>
      <c r="S11" s="483">
        <v>0.125</v>
      </c>
      <c r="T11" s="483">
        <v>0.125</v>
      </c>
      <c r="U11" s="483">
        <v>0.125</v>
      </c>
      <c r="V11" s="483">
        <v>0.125</v>
      </c>
      <c r="W11" s="483">
        <v>0.125</v>
      </c>
      <c r="X11" s="483">
        <v>0.125</v>
      </c>
      <c r="Y11" s="483">
        <v>0.125</v>
      </c>
      <c r="Z11" s="483">
        <v>0.125</v>
      </c>
      <c r="AA11" s="483">
        <v>0.125</v>
      </c>
    </row>
    <row r="12" spans="1:27" x14ac:dyDescent="0.2">
      <c r="A12" t="s">
        <v>907</v>
      </c>
      <c r="B12" t="s">
        <v>906</v>
      </c>
      <c r="C12" s="482">
        <f t="shared" ref="C12:AA12" si="3">C10+2*C11</f>
        <v>1.2509999999999999</v>
      </c>
      <c r="D12" s="482">
        <f t="shared" si="3"/>
        <v>1.2509999999999999</v>
      </c>
      <c r="E12" s="482">
        <f t="shared" si="3"/>
        <v>1.2509999999999999</v>
      </c>
      <c r="F12" s="482">
        <f t="shared" si="3"/>
        <v>1.2509999999999999</v>
      </c>
      <c r="G12" s="482">
        <f t="shared" si="3"/>
        <v>1.1259999999999999</v>
      </c>
      <c r="H12" s="482">
        <f t="shared" si="3"/>
        <v>1.1259999999999999</v>
      </c>
      <c r="I12" s="482">
        <f t="shared" si="3"/>
        <v>1.1259999999999999</v>
      </c>
      <c r="J12" s="482">
        <f t="shared" si="3"/>
        <v>1.1259999999999999</v>
      </c>
      <c r="K12" s="482">
        <f t="shared" si="3"/>
        <v>1.0009999999999999</v>
      </c>
      <c r="L12" s="482">
        <f t="shared" si="3"/>
        <v>1.0009999999999999</v>
      </c>
      <c r="M12" s="482">
        <f t="shared" si="3"/>
        <v>1.0009999999999999</v>
      </c>
      <c r="N12" s="482">
        <f t="shared" si="3"/>
        <v>1.0009999999999999</v>
      </c>
      <c r="O12" s="482">
        <f t="shared" si="3"/>
        <v>1.0009999999999999</v>
      </c>
      <c r="P12" s="482">
        <f t="shared" si="3"/>
        <v>0.75</v>
      </c>
      <c r="Q12" s="482">
        <f t="shared" si="3"/>
        <v>0.75</v>
      </c>
      <c r="R12" s="482">
        <f t="shared" si="3"/>
        <v>0.75</v>
      </c>
      <c r="S12" s="482">
        <f t="shared" si="3"/>
        <v>0.75</v>
      </c>
      <c r="T12" s="482">
        <f t="shared" si="3"/>
        <v>0.75</v>
      </c>
      <c r="U12" s="482">
        <f t="shared" si="3"/>
        <v>0.68799999999999994</v>
      </c>
      <c r="V12" s="482">
        <f t="shared" si="3"/>
        <v>0.68799999999999994</v>
      </c>
      <c r="W12" s="482">
        <f t="shared" si="3"/>
        <v>0.68799999999999994</v>
      </c>
      <c r="X12" s="482">
        <f t="shared" si="3"/>
        <v>0.68799999999999994</v>
      </c>
      <c r="Y12" s="482">
        <f t="shared" si="3"/>
        <v>0.68799999999999994</v>
      </c>
      <c r="Z12" s="482">
        <f t="shared" si="3"/>
        <v>0.68799999999999994</v>
      </c>
      <c r="AA12" s="482">
        <f t="shared" si="3"/>
        <v>0.68799999999999994</v>
      </c>
    </row>
    <row r="13" spans="1:27" x14ac:dyDescent="0.2">
      <c r="A13" s="476" t="s">
        <v>968</v>
      </c>
      <c r="B13" t="s">
        <v>906</v>
      </c>
      <c r="C13" s="483">
        <v>0.375</v>
      </c>
      <c r="D13" s="483">
        <v>0.375</v>
      </c>
      <c r="E13" s="483">
        <v>0.375</v>
      </c>
      <c r="F13" s="483">
        <v>0.375</v>
      </c>
      <c r="G13" s="483">
        <v>0.313</v>
      </c>
      <c r="H13" s="483">
        <v>0.313</v>
      </c>
      <c r="I13" s="483">
        <v>0.313</v>
      </c>
      <c r="J13" s="483">
        <v>0.313</v>
      </c>
      <c r="K13" s="483">
        <v>0.25</v>
      </c>
      <c r="L13" s="483">
        <v>0.25</v>
      </c>
      <c r="M13" s="483">
        <v>0.25</v>
      </c>
      <c r="N13" s="483">
        <v>0.25</v>
      </c>
      <c r="O13" s="483">
        <v>0.25</v>
      </c>
      <c r="P13" s="483">
        <v>0.188</v>
      </c>
      <c r="Q13" s="483">
        <v>0.188</v>
      </c>
      <c r="R13" s="483">
        <v>0.188</v>
      </c>
      <c r="S13" s="483">
        <v>0.188</v>
      </c>
      <c r="T13" s="483">
        <v>0.188</v>
      </c>
      <c r="U13" s="483">
        <v>0.156</v>
      </c>
      <c r="V13" s="483">
        <v>0.156</v>
      </c>
      <c r="W13" s="483">
        <v>0.156</v>
      </c>
      <c r="X13" s="483">
        <v>0.156</v>
      </c>
      <c r="Y13" s="483">
        <v>0.156</v>
      </c>
      <c r="Z13" s="483">
        <v>0.156</v>
      </c>
      <c r="AA13" s="483">
        <v>0.156</v>
      </c>
    </row>
    <row r="14" spans="1:27" x14ac:dyDescent="0.2">
      <c r="A14" s="476" t="s">
        <v>969</v>
      </c>
      <c r="B14" t="s">
        <v>906</v>
      </c>
      <c r="C14" s="483">
        <v>0.04</v>
      </c>
      <c r="D14" s="483">
        <v>0.04</v>
      </c>
      <c r="E14" s="483">
        <v>0.04</v>
      </c>
      <c r="F14" s="483">
        <v>0.04</v>
      </c>
      <c r="G14" s="483">
        <v>3.5000000000000003E-2</v>
      </c>
      <c r="H14" s="483">
        <v>3.5000000000000003E-2</v>
      </c>
      <c r="I14" s="483">
        <v>3.5000000000000003E-2</v>
      </c>
      <c r="J14" s="483">
        <v>3.5000000000000003E-2</v>
      </c>
      <c r="K14" s="483">
        <v>0.03</v>
      </c>
      <c r="L14" s="483">
        <v>0.03</v>
      </c>
      <c r="M14" s="483">
        <v>0.03</v>
      </c>
      <c r="N14" s="483">
        <v>0.03</v>
      </c>
      <c r="O14" s="483">
        <v>0.03</v>
      </c>
      <c r="P14" s="483">
        <v>2.5000000000000001E-2</v>
      </c>
      <c r="Q14" s="483">
        <v>2.5000000000000001E-2</v>
      </c>
      <c r="R14" s="483">
        <v>2.5000000000000001E-2</v>
      </c>
      <c r="S14" s="483">
        <v>2.5000000000000001E-2</v>
      </c>
      <c r="T14" s="483">
        <v>2.5000000000000001E-2</v>
      </c>
      <c r="U14" s="483">
        <v>0.02</v>
      </c>
      <c r="V14" s="483">
        <v>0.02</v>
      </c>
      <c r="W14" s="483">
        <v>0.02</v>
      </c>
      <c r="X14" s="483">
        <v>0.02</v>
      </c>
      <c r="Y14" s="483">
        <v>0.02</v>
      </c>
      <c r="Z14" s="483">
        <v>0.02</v>
      </c>
      <c r="AA14" s="483">
        <v>0.02</v>
      </c>
    </row>
    <row r="15" spans="1:27" x14ac:dyDescent="0.2">
      <c r="A15" s="476" t="s">
        <v>92</v>
      </c>
      <c r="B15" t="s">
        <v>906</v>
      </c>
      <c r="C15" s="483">
        <v>0.438</v>
      </c>
      <c r="D15" s="483">
        <v>0.438</v>
      </c>
      <c r="E15" s="483">
        <v>0.438</v>
      </c>
      <c r="F15" s="483">
        <v>0.438</v>
      </c>
      <c r="G15" s="483">
        <v>0.375</v>
      </c>
      <c r="H15" s="483">
        <v>0.375</v>
      </c>
      <c r="I15" s="483">
        <v>0.375</v>
      </c>
      <c r="J15" s="483">
        <v>0.375</v>
      </c>
      <c r="K15" s="483">
        <v>0.313</v>
      </c>
      <c r="L15" s="483">
        <v>0.313</v>
      </c>
      <c r="M15" s="483">
        <v>0.313</v>
      </c>
      <c r="N15" s="483">
        <v>0.313</v>
      </c>
      <c r="O15" s="483">
        <v>0.313</v>
      </c>
      <c r="P15" s="483">
        <v>0.25</v>
      </c>
      <c r="Q15" s="483">
        <v>0.25</v>
      </c>
      <c r="R15" s="483">
        <v>0.25</v>
      </c>
      <c r="S15" s="483">
        <v>0.25</v>
      </c>
      <c r="T15" s="483">
        <v>0.25</v>
      </c>
      <c r="U15" s="483">
        <v>0.219</v>
      </c>
      <c r="V15" s="483">
        <v>0.219</v>
      </c>
      <c r="W15" s="483">
        <v>0.219</v>
      </c>
      <c r="X15" s="483">
        <v>0.219</v>
      </c>
      <c r="Y15" s="483">
        <v>0.219</v>
      </c>
      <c r="Z15" s="483">
        <v>0.219</v>
      </c>
      <c r="AA15" s="483">
        <v>0.219</v>
      </c>
    </row>
    <row r="16" spans="1:27" x14ac:dyDescent="0.2">
      <c r="A16" s="476" t="s">
        <v>970</v>
      </c>
      <c r="B16" t="s">
        <v>906</v>
      </c>
      <c r="C16" s="483">
        <v>0.875</v>
      </c>
      <c r="D16" s="483">
        <v>0.875</v>
      </c>
      <c r="E16" s="483">
        <v>0.875</v>
      </c>
      <c r="F16" s="483">
        <v>0.875</v>
      </c>
      <c r="G16" s="483">
        <v>0.75</v>
      </c>
      <c r="H16" s="483">
        <v>0.75</v>
      </c>
      <c r="I16" s="483">
        <v>0.75</v>
      </c>
      <c r="J16" s="483">
        <v>0.75</v>
      </c>
      <c r="K16" s="483">
        <v>0.625</v>
      </c>
      <c r="L16" s="483">
        <v>0.625</v>
      </c>
      <c r="M16" s="483">
        <v>0.625</v>
      </c>
      <c r="N16" s="483">
        <v>0.625</v>
      </c>
      <c r="O16" s="483">
        <v>0.625</v>
      </c>
      <c r="P16" s="483">
        <v>0.5</v>
      </c>
      <c r="Q16" s="483">
        <v>0.5</v>
      </c>
      <c r="R16" s="483">
        <v>0.5</v>
      </c>
      <c r="S16" s="483">
        <v>0.5</v>
      </c>
      <c r="T16" s="483">
        <v>0.5</v>
      </c>
      <c r="U16" s="483">
        <v>0.438</v>
      </c>
      <c r="V16" s="483">
        <v>0.438</v>
      </c>
      <c r="W16" s="483">
        <v>0.438</v>
      </c>
      <c r="X16" s="483">
        <v>0.438</v>
      </c>
      <c r="Y16" s="483">
        <v>0.438</v>
      </c>
      <c r="Z16" s="483">
        <v>0.438</v>
      </c>
      <c r="AA16" s="483">
        <v>0.438</v>
      </c>
    </row>
    <row r="17" spans="1:27" x14ac:dyDescent="0.2">
      <c r="A17" s="476" t="s">
        <v>223</v>
      </c>
      <c r="B17" t="s">
        <v>906</v>
      </c>
      <c r="C17" s="483">
        <v>0.75</v>
      </c>
      <c r="D17" s="483">
        <v>0.75</v>
      </c>
      <c r="E17" s="483">
        <v>0.75</v>
      </c>
      <c r="F17" s="483">
        <v>0.75</v>
      </c>
      <c r="G17" s="483">
        <v>0.75</v>
      </c>
      <c r="H17" s="483">
        <v>0.75</v>
      </c>
      <c r="I17" s="483">
        <v>0.75</v>
      </c>
      <c r="J17" s="483">
        <v>0.75</v>
      </c>
      <c r="K17" s="483">
        <v>0.75</v>
      </c>
      <c r="L17" s="483">
        <v>0.75</v>
      </c>
      <c r="M17" s="483">
        <v>0.75</v>
      </c>
      <c r="N17" s="483">
        <v>0.75</v>
      </c>
      <c r="O17" s="483">
        <v>0.75</v>
      </c>
      <c r="P17" s="483">
        <v>0.75</v>
      </c>
      <c r="Q17" s="483">
        <v>0.75</v>
      </c>
      <c r="R17" s="483">
        <v>0.75</v>
      </c>
      <c r="S17" s="483">
        <v>0.75</v>
      </c>
      <c r="T17" s="483">
        <v>0.75</v>
      </c>
      <c r="U17" s="483">
        <v>0.75</v>
      </c>
      <c r="V17" s="483">
        <v>0.75</v>
      </c>
      <c r="W17" s="483">
        <v>0.75</v>
      </c>
      <c r="X17" s="483">
        <v>0.75</v>
      </c>
      <c r="Y17" s="483">
        <v>0.75</v>
      </c>
      <c r="Z17" s="483">
        <v>0.75</v>
      </c>
      <c r="AA17" s="483">
        <v>0.75</v>
      </c>
    </row>
    <row r="18" spans="1:27" x14ac:dyDescent="0.2">
      <c r="A18" s="474"/>
      <c r="B18" s="474"/>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row>
    <row r="19" spans="1:27" x14ac:dyDescent="0.2">
      <c r="A19" s="475" t="s">
        <v>910</v>
      </c>
      <c r="B19" s="474"/>
      <c r="C19" s="474"/>
      <c r="D19" s="474"/>
      <c r="E19" s="474"/>
      <c r="F19" s="474"/>
      <c r="G19" s="474"/>
      <c r="H19" s="474"/>
      <c r="I19" s="474"/>
      <c r="J19" s="474"/>
      <c r="K19" s="474"/>
      <c r="L19" s="474"/>
      <c r="M19" s="474"/>
      <c r="N19" s="474"/>
      <c r="O19" s="474"/>
      <c r="P19" s="474"/>
      <c r="Q19" s="474"/>
      <c r="R19" s="474"/>
      <c r="S19" s="474"/>
      <c r="T19" s="474"/>
      <c r="U19" s="474"/>
      <c r="V19" s="474"/>
      <c r="W19" s="474"/>
      <c r="X19" s="474"/>
      <c r="Y19" s="474"/>
      <c r="Z19" s="474"/>
      <c r="AA19" s="474"/>
    </row>
    <row r="20" spans="1:27" x14ac:dyDescent="0.2">
      <c r="A20" t="s">
        <v>234</v>
      </c>
      <c r="B20" t="s">
        <v>906</v>
      </c>
      <c r="C20" s="482">
        <f t="shared" ref="C20:AA20" si="4">13552/(2*C27)</f>
        <v>23.073928983900899</v>
      </c>
      <c r="D20" s="482">
        <f t="shared" si="4"/>
        <v>21.778888860545667</v>
      </c>
      <c r="E20" s="482">
        <f t="shared" si="4"/>
        <v>20.556533754218531</v>
      </c>
      <c r="F20" s="482">
        <f t="shared" si="4"/>
        <v>19.402784168381046</v>
      </c>
      <c r="G20" s="482">
        <f t="shared" si="4"/>
        <v>18.313789571041909</v>
      </c>
      <c r="H20" s="482">
        <f t="shared" si="4"/>
        <v>17.285915543964347</v>
      </c>
      <c r="I20" s="482">
        <f t="shared" si="4"/>
        <v>16.315731653133149</v>
      </c>
      <c r="J20" s="482">
        <f t="shared" si="4"/>
        <v>15.4</v>
      </c>
      <c r="K20" s="482">
        <f t="shared" si="4"/>
        <v>14.535664415298079</v>
      </c>
      <c r="L20" s="482">
        <f t="shared" si="4"/>
        <v>13.719840259361225</v>
      </c>
      <c r="M20" s="482">
        <f t="shared" si="4"/>
        <v>12.949804794907202</v>
      </c>
      <c r="N20" s="482">
        <f t="shared" si="4"/>
        <v>12.222988100155137</v>
      </c>
      <c r="O20" s="482">
        <f t="shared" si="4"/>
        <v>11.536964491950448</v>
      </c>
      <c r="P20" s="482">
        <f t="shared" si="4"/>
        <v>10.889444430272832</v>
      </c>
      <c r="Q20" s="482">
        <f t="shared" si="4"/>
        <v>10.278266877109264</v>
      </c>
      <c r="R20" s="482">
        <f t="shared" si="4"/>
        <v>9.7013920841905232</v>
      </c>
      <c r="S20" s="482">
        <f t="shared" si="4"/>
        <v>9.1568947855209508</v>
      </c>
      <c r="T20" s="482">
        <f t="shared" si="4"/>
        <v>8.6429577719821715</v>
      </c>
      <c r="U20" s="482">
        <f t="shared" si="4"/>
        <v>8.1578658265665709</v>
      </c>
      <c r="V20" s="482">
        <f t="shared" si="4"/>
        <v>7.7</v>
      </c>
      <c r="W20" s="482">
        <f t="shared" si="4"/>
        <v>7.2678322076490396</v>
      </c>
      <c r="X20" s="482">
        <f t="shared" si="4"/>
        <v>6.8599201296806109</v>
      </c>
      <c r="Y20" s="482">
        <f t="shared" si="4"/>
        <v>6.4749023974536009</v>
      </c>
      <c r="Z20" s="482">
        <f t="shared" si="4"/>
        <v>6.1114940500775674</v>
      </c>
      <c r="AA20" s="482">
        <f t="shared" si="4"/>
        <v>5.7684822459752221</v>
      </c>
    </row>
    <row r="21" spans="1:27" x14ac:dyDescent="0.2">
      <c r="A21" t="s">
        <v>911</v>
      </c>
      <c r="B21" t="s">
        <v>906</v>
      </c>
      <c r="C21" s="482">
        <f t="shared" ref="C21:AA21" si="5">0.6*C10</f>
        <v>0.52500000000000002</v>
      </c>
      <c r="D21" s="482">
        <f t="shared" si="5"/>
        <v>0.52500000000000002</v>
      </c>
      <c r="E21" s="482">
        <f t="shared" si="5"/>
        <v>0.52500000000000002</v>
      </c>
      <c r="F21" s="482">
        <f t="shared" si="5"/>
        <v>0.52500000000000002</v>
      </c>
      <c r="G21" s="482">
        <f t="shared" si="5"/>
        <v>0.44999999999999996</v>
      </c>
      <c r="H21" s="482">
        <f t="shared" si="5"/>
        <v>0.44999999999999996</v>
      </c>
      <c r="I21" s="482">
        <f t="shared" si="5"/>
        <v>0.44999999999999996</v>
      </c>
      <c r="J21" s="482">
        <f t="shared" si="5"/>
        <v>0.44999999999999996</v>
      </c>
      <c r="K21" s="482">
        <f t="shared" si="5"/>
        <v>0.375</v>
      </c>
      <c r="L21" s="482">
        <f t="shared" si="5"/>
        <v>0.375</v>
      </c>
      <c r="M21" s="482">
        <f t="shared" si="5"/>
        <v>0.375</v>
      </c>
      <c r="N21" s="482">
        <f t="shared" si="5"/>
        <v>0.375</v>
      </c>
      <c r="O21" s="482">
        <f t="shared" si="5"/>
        <v>0.375</v>
      </c>
      <c r="P21" s="482">
        <f t="shared" si="5"/>
        <v>0.3</v>
      </c>
      <c r="Q21" s="482">
        <f t="shared" si="5"/>
        <v>0.3</v>
      </c>
      <c r="R21" s="482">
        <f t="shared" si="5"/>
        <v>0.3</v>
      </c>
      <c r="S21" s="482">
        <f t="shared" si="5"/>
        <v>0.3</v>
      </c>
      <c r="T21" s="482">
        <f t="shared" si="5"/>
        <v>0.3</v>
      </c>
      <c r="U21" s="482">
        <f t="shared" si="5"/>
        <v>0.26279999999999998</v>
      </c>
      <c r="V21" s="482">
        <f t="shared" si="5"/>
        <v>0.26279999999999998</v>
      </c>
      <c r="W21" s="482">
        <f t="shared" si="5"/>
        <v>0.26279999999999998</v>
      </c>
      <c r="X21" s="482">
        <f t="shared" si="5"/>
        <v>0.26279999999999998</v>
      </c>
      <c r="Y21" s="482">
        <f t="shared" si="5"/>
        <v>0.26279999999999998</v>
      </c>
      <c r="Z21" s="482">
        <f t="shared" si="5"/>
        <v>0.26279999999999998</v>
      </c>
      <c r="AA21" s="482">
        <f t="shared" si="5"/>
        <v>0.26279999999999998</v>
      </c>
    </row>
    <row r="22" spans="1:27" x14ac:dyDescent="0.2">
      <c r="A22" t="s">
        <v>912</v>
      </c>
      <c r="B22" t="s">
        <v>906</v>
      </c>
      <c r="C22" s="482">
        <f t="shared" ref="C22:AA22" si="6">C20-C21</f>
        <v>22.5489289839009</v>
      </c>
      <c r="D22" s="482">
        <f t="shared" si="6"/>
        <v>21.253888860545668</v>
      </c>
      <c r="E22" s="482">
        <f t="shared" si="6"/>
        <v>20.031533754218533</v>
      </c>
      <c r="F22" s="482">
        <f t="shared" si="6"/>
        <v>18.877784168381048</v>
      </c>
      <c r="G22" s="482">
        <f t="shared" si="6"/>
        <v>17.863789571041909</v>
      </c>
      <c r="H22" s="482">
        <f t="shared" si="6"/>
        <v>16.835915543964347</v>
      </c>
      <c r="I22" s="482">
        <f t="shared" si="6"/>
        <v>15.86573165313315</v>
      </c>
      <c r="J22" s="482">
        <f t="shared" si="6"/>
        <v>14.950000000000001</v>
      </c>
      <c r="K22" s="482">
        <f t="shared" si="6"/>
        <v>14.160664415298079</v>
      </c>
      <c r="L22" s="482">
        <f t="shared" si="6"/>
        <v>13.344840259361225</v>
      </c>
      <c r="M22" s="482">
        <f t="shared" si="6"/>
        <v>12.574804794907202</v>
      </c>
      <c r="N22" s="482">
        <f t="shared" si="6"/>
        <v>11.847988100155137</v>
      </c>
      <c r="O22" s="482">
        <f t="shared" si="6"/>
        <v>11.161964491950448</v>
      </c>
      <c r="P22" s="482">
        <f t="shared" si="6"/>
        <v>10.589444430272831</v>
      </c>
      <c r="Q22" s="482">
        <f t="shared" si="6"/>
        <v>9.9782668771092631</v>
      </c>
      <c r="R22" s="482">
        <f t="shared" si="6"/>
        <v>9.4013920841905225</v>
      </c>
      <c r="S22" s="482">
        <f t="shared" si="6"/>
        <v>8.8568947855209501</v>
      </c>
      <c r="T22" s="482">
        <f t="shared" si="6"/>
        <v>8.3429577719821708</v>
      </c>
      <c r="U22" s="482">
        <f t="shared" si="6"/>
        <v>7.8950658265665705</v>
      </c>
      <c r="V22" s="482">
        <f t="shared" si="6"/>
        <v>7.4371999999999998</v>
      </c>
      <c r="W22" s="482">
        <f t="shared" si="6"/>
        <v>7.0050322076490392</v>
      </c>
      <c r="X22" s="482">
        <f t="shared" si="6"/>
        <v>6.5971201296806106</v>
      </c>
      <c r="Y22" s="482">
        <f t="shared" si="6"/>
        <v>6.2121023974536005</v>
      </c>
      <c r="Z22" s="482">
        <f t="shared" si="6"/>
        <v>5.848694050077567</v>
      </c>
      <c r="AA22" s="482">
        <f t="shared" si="6"/>
        <v>5.5056822459752217</v>
      </c>
    </row>
    <row r="23" spans="1:27" x14ac:dyDescent="0.2">
      <c r="A23" t="s">
        <v>913</v>
      </c>
      <c r="B23" t="s">
        <v>914</v>
      </c>
      <c r="C23">
        <v>13552</v>
      </c>
      <c r="D23">
        <v>13552</v>
      </c>
      <c r="E23">
        <v>13552</v>
      </c>
      <c r="F23">
        <v>13552</v>
      </c>
      <c r="G23">
        <v>13552</v>
      </c>
      <c r="H23">
        <v>13552</v>
      </c>
      <c r="I23">
        <v>13552</v>
      </c>
      <c r="J23">
        <v>13552</v>
      </c>
      <c r="K23">
        <v>13552</v>
      </c>
      <c r="L23">
        <v>13552</v>
      </c>
      <c r="M23">
        <v>13552</v>
      </c>
      <c r="N23">
        <v>13552</v>
      </c>
      <c r="O23">
        <v>13552</v>
      </c>
      <c r="P23">
        <v>13552</v>
      </c>
      <c r="Q23">
        <v>13552</v>
      </c>
      <c r="R23">
        <v>13552</v>
      </c>
      <c r="S23">
        <v>13552</v>
      </c>
      <c r="T23">
        <v>13552</v>
      </c>
      <c r="U23">
        <v>13552</v>
      </c>
      <c r="V23">
        <v>13552</v>
      </c>
      <c r="W23">
        <v>13552</v>
      </c>
      <c r="X23">
        <v>13552</v>
      </c>
      <c r="Y23">
        <v>13552</v>
      </c>
      <c r="Z23">
        <v>13552</v>
      </c>
      <c r="AA23">
        <v>13552</v>
      </c>
    </row>
    <row r="24" spans="1:27" x14ac:dyDescent="0.2">
      <c r="A24" s="479"/>
      <c r="B24" s="479"/>
      <c r="C24" s="479"/>
      <c r="D24" s="479"/>
      <c r="E24" s="479"/>
      <c r="F24" s="479"/>
      <c r="G24" s="479"/>
      <c r="H24" s="479"/>
      <c r="I24" s="479"/>
      <c r="J24" s="479"/>
      <c r="K24" s="479"/>
      <c r="L24" s="479"/>
      <c r="M24" s="479"/>
      <c r="N24" s="479"/>
      <c r="O24" s="479"/>
      <c r="P24" s="479"/>
      <c r="Q24" s="479"/>
      <c r="R24" s="479"/>
      <c r="S24" s="479"/>
      <c r="T24" s="479"/>
      <c r="U24" s="479"/>
      <c r="V24" s="479"/>
      <c r="W24" s="479"/>
      <c r="X24" s="479"/>
      <c r="Y24" s="479"/>
      <c r="Z24" s="479"/>
      <c r="AA24" s="479"/>
    </row>
    <row r="25" spans="1:27" x14ac:dyDescent="0.2">
      <c r="A25" s="484" t="s">
        <v>915</v>
      </c>
      <c r="B25" s="479"/>
      <c r="C25" s="479"/>
      <c r="D25" s="479"/>
      <c r="E25" s="479"/>
      <c r="F25" s="479"/>
      <c r="G25" s="479"/>
      <c r="H25" s="479"/>
      <c r="I25" s="479"/>
      <c r="J25" s="479"/>
      <c r="K25" s="479"/>
      <c r="L25" s="479"/>
      <c r="M25" s="479"/>
      <c r="N25" s="479"/>
      <c r="O25" s="479"/>
      <c r="P25" s="479"/>
      <c r="Q25" s="479"/>
      <c r="R25" s="479"/>
      <c r="S25" s="479"/>
      <c r="T25" s="479"/>
      <c r="U25" s="479"/>
      <c r="V25" s="479"/>
      <c r="W25" s="479"/>
      <c r="X25" s="479"/>
      <c r="Y25" s="479"/>
      <c r="Z25" s="479"/>
      <c r="AA25" s="479"/>
    </row>
    <row r="26" spans="1:27" x14ac:dyDescent="0.2">
      <c r="A26" t="s">
        <v>239</v>
      </c>
      <c r="C26" s="472" t="s">
        <v>8</v>
      </c>
      <c r="D26" s="472" t="s">
        <v>9</v>
      </c>
      <c r="E26" s="472" t="s">
        <v>10</v>
      </c>
      <c r="F26" s="472" t="s">
        <v>240</v>
      </c>
      <c r="G26" s="472" t="s">
        <v>12</v>
      </c>
      <c r="H26" s="472" t="s">
        <v>13</v>
      </c>
      <c r="I26" s="472" t="s">
        <v>14</v>
      </c>
      <c r="J26" s="472" t="s">
        <v>15</v>
      </c>
      <c r="K26" s="472" t="s">
        <v>16</v>
      </c>
      <c r="L26" s="472" t="s">
        <v>17</v>
      </c>
      <c r="M26" s="472" t="s">
        <v>18</v>
      </c>
      <c r="N26" s="472" t="s">
        <v>19</v>
      </c>
      <c r="O26" s="472" t="s">
        <v>20</v>
      </c>
      <c r="P26" s="472" t="s">
        <v>35</v>
      </c>
      <c r="Q26" s="472" t="s">
        <v>210</v>
      </c>
      <c r="R26" s="472" t="s">
        <v>211</v>
      </c>
      <c r="S26" s="472" t="s">
        <v>45</v>
      </c>
      <c r="T26" s="472" t="s">
        <v>212</v>
      </c>
      <c r="U26" s="472" t="s">
        <v>213</v>
      </c>
      <c r="V26" s="472" t="s">
        <v>725</v>
      </c>
      <c r="W26" s="472" t="s">
        <v>53</v>
      </c>
      <c r="X26" s="472" t="s">
        <v>734</v>
      </c>
      <c r="Y26" s="472" t="s">
        <v>737</v>
      </c>
      <c r="Z26" s="472" t="s">
        <v>214</v>
      </c>
      <c r="AA26" s="472" t="s">
        <v>740</v>
      </c>
    </row>
    <row r="27" spans="1:27" x14ac:dyDescent="0.2">
      <c r="A27" t="s">
        <v>916</v>
      </c>
      <c r="B27" t="s">
        <v>917</v>
      </c>
      <c r="C27" s="481">
        <f t="shared" ref="C27:AA27" si="7">((2^(1/12))^(C4-49))*440</f>
        <v>293.66476791740752</v>
      </c>
      <c r="D27" s="481">
        <f t="shared" si="7"/>
        <v>311.12698372208087</v>
      </c>
      <c r="E27" s="481">
        <f t="shared" si="7"/>
        <v>329.62755691286992</v>
      </c>
      <c r="F27" s="481">
        <f t="shared" si="7"/>
        <v>349.22823143300388</v>
      </c>
      <c r="G27" s="481">
        <f t="shared" si="7"/>
        <v>369.99442271163434</v>
      </c>
      <c r="H27" s="481">
        <f t="shared" si="7"/>
        <v>391.99543598174927</v>
      </c>
      <c r="I27" s="481">
        <f t="shared" si="7"/>
        <v>415.30469757994513</v>
      </c>
      <c r="J27" s="481">
        <f t="shared" si="7"/>
        <v>440</v>
      </c>
      <c r="K27" s="481">
        <f t="shared" si="7"/>
        <v>466.16376151808993</v>
      </c>
      <c r="L27" s="481">
        <f t="shared" si="7"/>
        <v>493.88330125612413</v>
      </c>
      <c r="M27" s="481">
        <f t="shared" si="7"/>
        <v>523.25113060119736</v>
      </c>
      <c r="N27" s="481">
        <f t="shared" si="7"/>
        <v>554.36526195374415</v>
      </c>
      <c r="O27" s="481">
        <f t="shared" si="7"/>
        <v>587.32953583481515</v>
      </c>
      <c r="P27" s="481">
        <f t="shared" si="7"/>
        <v>622.25396744416184</v>
      </c>
      <c r="Q27" s="481">
        <f t="shared" si="7"/>
        <v>659.25511382573995</v>
      </c>
      <c r="R27" s="481">
        <f t="shared" si="7"/>
        <v>698.45646286600777</v>
      </c>
      <c r="S27" s="481">
        <f t="shared" si="7"/>
        <v>739.98884542326891</v>
      </c>
      <c r="T27" s="481">
        <f t="shared" si="7"/>
        <v>783.99087196349865</v>
      </c>
      <c r="U27" s="481">
        <f t="shared" si="7"/>
        <v>830.60939515989048</v>
      </c>
      <c r="V27" s="481">
        <f t="shared" si="7"/>
        <v>880</v>
      </c>
      <c r="W27" s="481">
        <f t="shared" si="7"/>
        <v>932.32752303617985</v>
      </c>
      <c r="X27" s="481">
        <f t="shared" si="7"/>
        <v>987.76660251224848</v>
      </c>
      <c r="Y27" s="481">
        <f t="shared" si="7"/>
        <v>1046.5022612023947</v>
      </c>
      <c r="Z27" s="481">
        <f t="shared" si="7"/>
        <v>1108.7305239074885</v>
      </c>
      <c r="AA27" s="481">
        <f t="shared" si="7"/>
        <v>1174.6590716696305</v>
      </c>
    </row>
    <row r="28" spans="1:27" x14ac:dyDescent="0.2">
      <c r="A28" t="s">
        <v>918</v>
      </c>
      <c r="C28" s="472" t="s">
        <v>10</v>
      </c>
      <c r="D28" s="472" t="s">
        <v>240</v>
      </c>
      <c r="E28" s="472" t="s">
        <v>12</v>
      </c>
      <c r="F28" s="472" t="s">
        <v>13</v>
      </c>
      <c r="G28" s="472" t="s">
        <v>14</v>
      </c>
      <c r="H28" s="472" t="s">
        <v>15</v>
      </c>
      <c r="I28" s="472" t="s">
        <v>16</v>
      </c>
      <c r="J28" s="472" t="s">
        <v>17</v>
      </c>
      <c r="K28" s="472" t="s">
        <v>18</v>
      </c>
      <c r="L28" s="472" t="s">
        <v>19</v>
      </c>
      <c r="M28" s="472" t="s">
        <v>20</v>
      </c>
      <c r="N28" s="472" t="s">
        <v>35</v>
      </c>
      <c r="O28" s="472" t="s">
        <v>210</v>
      </c>
      <c r="P28" s="472" t="s">
        <v>211</v>
      </c>
      <c r="Q28" s="472" t="s">
        <v>45</v>
      </c>
      <c r="R28" s="472" t="s">
        <v>212</v>
      </c>
      <c r="S28" s="472" t="s">
        <v>213</v>
      </c>
      <c r="T28" s="472" t="s">
        <v>725</v>
      </c>
      <c r="U28" s="472" t="s">
        <v>53</v>
      </c>
      <c r="V28" s="472" t="s">
        <v>734</v>
      </c>
      <c r="W28" s="472" t="s">
        <v>737</v>
      </c>
      <c r="X28" s="472" t="s">
        <v>214</v>
      </c>
      <c r="Y28" s="472" t="s">
        <v>740</v>
      </c>
      <c r="Z28" s="472" t="s">
        <v>247</v>
      </c>
      <c r="AA28" s="472" t="s">
        <v>744</v>
      </c>
    </row>
    <row r="29" spans="1:27" x14ac:dyDescent="0.2">
      <c r="A29" t="s">
        <v>919</v>
      </c>
      <c r="B29" t="s">
        <v>917</v>
      </c>
      <c r="C29" s="481">
        <f t="shared" ref="C29:AA29" si="8">((2^(1/12))^(C4+2-49))*440</f>
        <v>329.62755691286992</v>
      </c>
      <c r="D29" s="481">
        <f t="shared" si="8"/>
        <v>349.22823143300388</v>
      </c>
      <c r="E29" s="481">
        <f t="shared" si="8"/>
        <v>369.99442271163434</v>
      </c>
      <c r="F29" s="481">
        <f t="shared" si="8"/>
        <v>391.99543598174927</v>
      </c>
      <c r="G29" s="481">
        <f t="shared" si="8"/>
        <v>415.30469757994513</v>
      </c>
      <c r="H29" s="481">
        <f t="shared" si="8"/>
        <v>440</v>
      </c>
      <c r="I29" s="481">
        <f t="shared" si="8"/>
        <v>466.16376151808993</v>
      </c>
      <c r="J29" s="481">
        <f t="shared" si="8"/>
        <v>493.88330125612413</v>
      </c>
      <c r="K29" s="481">
        <f t="shared" si="8"/>
        <v>523.25113060119736</v>
      </c>
      <c r="L29" s="481">
        <f t="shared" si="8"/>
        <v>554.36526195374415</v>
      </c>
      <c r="M29" s="481">
        <f t="shared" si="8"/>
        <v>587.32953583481515</v>
      </c>
      <c r="N29" s="481">
        <f t="shared" si="8"/>
        <v>622.25396744416184</v>
      </c>
      <c r="O29" s="481">
        <f t="shared" si="8"/>
        <v>659.25511382573995</v>
      </c>
      <c r="P29" s="481">
        <f t="shared" si="8"/>
        <v>698.45646286600777</v>
      </c>
      <c r="Q29" s="481">
        <f t="shared" si="8"/>
        <v>739.98884542326891</v>
      </c>
      <c r="R29" s="481">
        <f t="shared" si="8"/>
        <v>783.99087196349865</v>
      </c>
      <c r="S29" s="481">
        <f t="shared" si="8"/>
        <v>830.60939515989048</v>
      </c>
      <c r="T29" s="481">
        <f t="shared" si="8"/>
        <v>880</v>
      </c>
      <c r="U29" s="481">
        <f t="shared" si="8"/>
        <v>932.32752303617985</v>
      </c>
      <c r="V29" s="481">
        <f t="shared" si="8"/>
        <v>987.76660251224848</v>
      </c>
      <c r="W29" s="481">
        <f t="shared" si="8"/>
        <v>1046.5022612023947</v>
      </c>
      <c r="X29" s="481">
        <f t="shared" si="8"/>
        <v>1108.7305239074885</v>
      </c>
      <c r="Y29" s="481">
        <f t="shared" si="8"/>
        <v>1174.6590716696305</v>
      </c>
      <c r="Z29" s="481">
        <f t="shared" si="8"/>
        <v>1244.5079348883239</v>
      </c>
      <c r="AA29" s="481">
        <f t="shared" si="8"/>
        <v>1318.5102276514801</v>
      </c>
    </row>
    <row r="30" spans="1:27" x14ac:dyDescent="0.2">
      <c r="A30" t="s">
        <v>97</v>
      </c>
      <c r="B30" t="s">
        <v>906</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row>
    <row r="31" spans="1:27" x14ac:dyDescent="0.2">
      <c r="A31" t="s">
        <v>920</v>
      </c>
      <c r="B31" t="s">
        <v>906</v>
      </c>
      <c r="C31" s="482">
        <f t="shared" ref="C31:AA31" si="9">C20*C27/C29</f>
        <v>20.556533754218531</v>
      </c>
      <c r="D31" s="482">
        <f t="shared" si="9"/>
        <v>19.402784168381046</v>
      </c>
      <c r="E31" s="482">
        <f t="shared" si="9"/>
        <v>18.313789571041909</v>
      </c>
      <c r="F31" s="482">
        <f t="shared" si="9"/>
        <v>17.285915543964347</v>
      </c>
      <c r="G31" s="482">
        <f t="shared" si="9"/>
        <v>16.315731653133149</v>
      </c>
      <c r="H31" s="482">
        <f t="shared" si="9"/>
        <v>15.400000000000002</v>
      </c>
      <c r="I31" s="482">
        <f t="shared" si="9"/>
        <v>14.535664415298081</v>
      </c>
      <c r="J31" s="482">
        <f t="shared" si="9"/>
        <v>13.719840259361225</v>
      </c>
      <c r="K31" s="482">
        <f t="shared" si="9"/>
        <v>12.949804794907202</v>
      </c>
      <c r="L31" s="482">
        <f t="shared" si="9"/>
        <v>12.222988100155137</v>
      </c>
      <c r="M31" s="482">
        <f t="shared" si="9"/>
        <v>11.536964491950448</v>
      </c>
      <c r="N31" s="482">
        <f t="shared" si="9"/>
        <v>10.889444430272832</v>
      </c>
      <c r="O31" s="482">
        <f t="shared" si="9"/>
        <v>10.278266877109264</v>
      </c>
      <c r="P31" s="482">
        <f t="shared" si="9"/>
        <v>9.7013920841905232</v>
      </c>
      <c r="Q31" s="482">
        <f t="shared" si="9"/>
        <v>9.1568947855209508</v>
      </c>
      <c r="R31" s="482">
        <f t="shared" si="9"/>
        <v>8.6429577719821715</v>
      </c>
      <c r="S31" s="482">
        <f t="shared" si="9"/>
        <v>8.1578658265665709</v>
      </c>
      <c r="T31" s="482">
        <f t="shared" si="9"/>
        <v>7.7</v>
      </c>
      <c r="U31" s="482">
        <f t="shared" si="9"/>
        <v>7.2678322076490387</v>
      </c>
      <c r="V31" s="482">
        <f t="shared" si="9"/>
        <v>6.8599201296806109</v>
      </c>
      <c r="W31" s="482">
        <f t="shared" si="9"/>
        <v>6.4749023974536009</v>
      </c>
      <c r="X31" s="482">
        <f t="shared" si="9"/>
        <v>6.1114940500775674</v>
      </c>
      <c r="Y31" s="482">
        <f t="shared" si="9"/>
        <v>5.7684822459752221</v>
      </c>
      <c r="Z31" s="482">
        <f t="shared" si="9"/>
        <v>5.444722215136415</v>
      </c>
      <c r="AA31" s="482">
        <f t="shared" si="9"/>
        <v>5.139133438554631</v>
      </c>
    </row>
    <row r="32" spans="1:27" x14ac:dyDescent="0.2">
      <c r="A32" t="s">
        <v>921</v>
      </c>
      <c r="C32" s="472" t="s">
        <v>12</v>
      </c>
      <c r="D32" s="472" t="s">
        <v>13</v>
      </c>
      <c r="E32" s="472" t="s">
        <v>14</v>
      </c>
      <c r="F32" s="472" t="s">
        <v>15</v>
      </c>
      <c r="G32" s="472" t="s">
        <v>16</v>
      </c>
      <c r="H32" s="472" t="s">
        <v>17</v>
      </c>
      <c r="I32" s="472" t="s">
        <v>18</v>
      </c>
      <c r="J32" s="472" t="s">
        <v>19</v>
      </c>
      <c r="K32" s="472" t="s">
        <v>20</v>
      </c>
      <c r="L32" s="472" t="s">
        <v>35</v>
      </c>
      <c r="M32" s="472" t="s">
        <v>210</v>
      </c>
      <c r="N32" s="472" t="s">
        <v>211</v>
      </c>
      <c r="O32" s="472" t="s">
        <v>45</v>
      </c>
      <c r="P32" s="472" t="s">
        <v>212</v>
      </c>
      <c r="Q32" s="472" t="s">
        <v>213</v>
      </c>
      <c r="R32" s="472" t="s">
        <v>725</v>
      </c>
      <c r="S32" s="472" t="s">
        <v>53</v>
      </c>
      <c r="T32" s="472" t="s">
        <v>734</v>
      </c>
      <c r="U32" s="472" t="s">
        <v>737</v>
      </c>
      <c r="V32" s="472" t="s">
        <v>214</v>
      </c>
      <c r="W32" s="472" t="s">
        <v>740</v>
      </c>
      <c r="X32" s="472" t="s">
        <v>247</v>
      </c>
      <c r="Y32" s="472" t="s">
        <v>744</v>
      </c>
      <c r="Z32" s="472" t="s">
        <v>746</v>
      </c>
      <c r="AA32" s="472" t="s">
        <v>259</v>
      </c>
    </row>
    <row r="33" spans="1:27" x14ac:dyDescent="0.2">
      <c r="A33" t="s">
        <v>922</v>
      </c>
      <c r="B33" t="s">
        <v>917</v>
      </c>
      <c r="C33" s="481">
        <f t="shared" ref="C33:AA33" si="10">((2^(1/12))^(C4+4-49))*440</f>
        <v>369.99442271163434</v>
      </c>
      <c r="D33" s="481">
        <f t="shared" si="10"/>
        <v>391.99543598174927</v>
      </c>
      <c r="E33" s="481">
        <f t="shared" si="10"/>
        <v>415.30469757994513</v>
      </c>
      <c r="F33" s="481">
        <f t="shared" si="10"/>
        <v>440</v>
      </c>
      <c r="G33" s="481">
        <f t="shared" si="10"/>
        <v>466.16376151808993</v>
      </c>
      <c r="H33" s="481">
        <f t="shared" si="10"/>
        <v>493.88330125612413</v>
      </c>
      <c r="I33" s="481">
        <f t="shared" si="10"/>
        <v>523.25113060119736</v>
      </c>
      <c r="J33" s="481">
        <f t="shared" si="10"/>
        <v>554.36526195374415</v>
      </c>
      <c r="K33" s="481">
        <f t="shared" si="10"/>
        <v>587.32953583481515</v>
      </c>
      <c r="L33" s="481">
        <f t="shared" si="10"/>
        <v>622.25396744416184</v>
      </c>
      <c r="M33" s="481">
        <f t="shared" si="10"/>
        <v>659.25511382573995</v>
      </c>
      <c r="N33" s="481">
        <f t="shared" si="10"/>
        <v>698.45646286600777</v>
      </c>
      <c r="O33" s="481">
        <f t="shared" si="10"/>
        <v>739.98884542326891</v>
      </c>
      <c r="P33" s="481">
        <f t="shared" si="10"/>
        <v>783.99087196349865</v>
      </c>
      <c r="Q33" s="481">
        <f t="shared" si="10"/>
        <v>830.60939515989048</v>
      </c>
      <c r="R33" s="481">
        <f t="shared" si="10"/>
        <v>880</v>
      </c>
      <c r="S33" s="481">
        <f t="shared" si="10"/>
        <v>932.32752303617985</v>
      </c>
      <c r="T33" s="481">
        <f t="shared" si="10"/>
        <v>987.76660251224848</v>
      </c>
      <c r="U33" s="481">
        <f t="shared" si="10"/>
        <v>1046.5022612023947</v>
      </c>
      <c r="V33" s="481">
        <f t="shared" si="10"/>
        <v>1108.7305239074885</v>
      </c>
      <c r="W33" s="481">
        <f t="shared" si="10"/>
        <v>1174.6590716696305</v>
      </c>
      <c r="X33" s="481">
        <f t="shared" si="10"/>
        <v>1244.5079348883239</v>
      </c>
      <c r="Y33" s="481">
        <f t="shared" si="10"/>
        <v>1318.5102276514801</v>
      </c>
      <c r="Z33" s="481">
        <f t="shared" si="10"/>
        <v>1396.9129257320158</v>
      </c>
      <c r="AA33" s="481">
        <f t="shared" si="10"/>
        <v>1479.9776908465378</v>
      </c>
    </row>
    <row r="34" spans="1:27" x14ac:dyDescent="0.2">
      <c r="A34" t="s">
        <v>100</v>
      </c>
      <c r="B34" t="s">
        <v>906</v>
      </c>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row>
    <row r="35" spans="1:27" x14ac:dyDescent="0.2">
      <c r="A35" t="s">
        <v>923</v>
      </c>
      <c r="B35" t="s">
        <v>906</v>
      </c>
      <c r="C35" s="482">
        <f t="shared" ref="C35:AA35" si="11">C20*C27/C33</f>
        <v>18.313789571041909</v>
      </c>
      <c r="D35" s="482">
        <f t="shared" si="11"/>
        <v>17.285915543964347</v>
      </c>
      <c r="E35" s="482">
        <f t="shared" si="11"/>
        <v>16.315731653133149</v>
      </c>
      <c r="F35" s="482">
        <f t="shared" si="11"/>
        <v>15.4</v>
      </c>
      <c r="G35" s="482">
        <f t="shared" si="11"/>
        <v>14.535664415298081</v>
      </c>
      <c r="H35" s="482">
        <f t="shared" si="11"/>
        <v>13.719840259361227</v>
      </c>
      <c r="I35" s="482">
        <f t="shared" si="11"/>
        <v>12.949804794907203</v>
      </c>
      <c r="J35" s="482">
        <f t="shared" si="11"/>
        <v>12.222988100155137</v>
      </c>
      <c r="K35" s="482">
        <f t="shared" si="11"/>
        <v>11.536964491950448</v>
      </c>
      <c r="L35" s="482">
        <f t="shared" si="11"/>
        <v>10.889444430272832</v>
      </c>
      <c r="M35" s="482">
        <f t="shared" si="11"/>
        <v>10.278266877109264</v>
      </c>
      <c r="N35" s="482">
        <f t="shared" si="11"/>
        <v>9.7013920841905232</v>
      </c>
      <c r="O35" s="482">
        <f t="shared" si="11"/>
        <v>9.1568947855209508</v>
      </c>
      <c r="P35" s="482">
        <f t="shared" si="11"/>
        <v>8.6429577719821715</v>
      </c>
      <c r="Q35" s="482">
        <f t="shared" si="11"/>
        <v>8.1578658265665709</v>
      </c>
      <c r="R35" s="482">
        <f t="shared" si="11"/>
        <v>7.7</v>
      </c>
      <c r="S35" s="482">
        <f t="shared" si="11"/>
        <v>7.2678322076490396</v>
      </c>
      <c r="T35" s="482">
        <f t="shared" si="11"/>
        <v>6.8599201296806109</v>
      </c>
      <c r="U35" s="482">
        <f t="shared" si="11"/>
        <v>6.4749023974536</v>
      </c>
      <c r="V35" s="482">
        <f t="shared" si="11"/>
        <v>6.1114940500775674</v>
      </c>
      <c r="W35" s="482">
        <f t="shared" si="11"/>
        <v>5.7684822459752221</v>
      </c>
      <c r="X35" s="482">
        <f t="shared" si="11"/>
        <v>5.444722215136415</v>
      </c>
      <c r="Y35" s="482">
        <f t="shared" si="11"/>
        <v>5.139133438554631</v>
      </c>
      <c r="Z35" s="482">
        <f t="shared" si="11"/>
        <v>4.8506960420952607</v>
      </c>
      <c r="AA35" s="482">
        <f t="shared" si="11"/>
        <v>4.5784473927604754</v>
      </c>
    </row>
    <row r="36" spans="1:27" x14ac:dyDescent="0.2">
      <c r="A36" t="s">
        <v>924</v>
      </c>
      <c r="C36" s="472" t="s">
        <v>13</v>
      </c>
      <c r="D36" s="472" t="s">
        <v>14</v>
      </c>
      <c r="E36" s="472" t="s">
        <v>15</v>
      </c>
      <c r="F36" s="472" t="s">
        <v>16</v>
      </c>
      <c r="G36" s="472" t="s">
        <v>17</v>
      </c>
      <c r="H36" s="472" t="s">
        <v>18</v>
      </c>
      <c r="I36" s="472" t="s">
        <v>19</v>
      </c>
      <c r="J36" s="472" t="s">
        <v>20</v>
      </c>
      <c r="K36" s="472" t="s">
        <v>35</v>
      </c>
      <c r="L36" s="472" t="s">
        <v>210</v>
      </c>
      <c r="M36" s="472" t="s">
        <v>211</v>
      </c>
      <c r="N36" s="472" t="s">
        <v>45</v>
      </c>
      <c r="O36" s="472" t="s">
        <v>212</v>
      </c>
      <c r="P36" s="472" t="s">
        <v>213</v>
      </c>
      <c r="Q36" s="472" t="s">
        <v>725</v>
      </c>
      <c r="R36" s="472" t="s">
        <v>53</v>
      </c>
      <c r="S36" s="472" t="s">
        <v>734</v>
      </c>
      <c r="T36" s="472" t="s">
        <v>737</v>
      </c>
      <c r="U36" s="472" t="s">
        <v>214</v>
      </c>
      <c r="V36" s="472" t="s">
        <v>740</v>
      </c>
      <c r="W36" s="472" t="s">
        <v>247</v>
      </c>
      <c r="X36" s="472" t="s">
        <v>744</v>
      </c>
      <c r="Y36" s="472" t="s">
        <v>746</v>
      </c>
      <c r="Z36" s="472" t="s">
        <v>259</v>
      </c>
      <c r="AA36" s="472" t="s">
        <v>749</v>
      </c>
    </row>
    <row r="37" spans="1:27" x14ac:dyDescent="0.2">
      <c r="A37" t="s">
        <v>925</v>
      </c>
      <c r="B37" t="s">
        <v>917</v>
      </c>
      <c r="C37" s="481">
        <f t="shared" ref="C37:AA37" si="12">((2^(1/12))^(C4+5-49))*440</f>
        <v>391.99543598174927</v>
      </c>
      <c r="D37" s="481">
        <f t="shared" si="12"/>
        <v>415.30469757994513</v>
      </c>
      <c r="E37" s="481">
        <f t="shared" si="12"/>
        <v>440</v>
      </c>
      <c r="F37" s="481">
        <f t="shared" si="12"/>
        <v>466.16376151808993</v>
      </c>
      <c r="G37" s="481">
        <f t="shared" si="12"/>
        <v>493.88330125612413</v>
      </c>
      <c r="H37" s="481">
        <f t="shared" si="12"/>
        <v>523.25113060119736</v>
      </c>
      <c r="I37" s="481">
        <f t="shared" si="12"/>
        <v>554.36526195374415</v>
      </c>
      <c r="J37" s="481">
        <f t="shared" si="12"/>
        <v>587.32953583481515</v>
      </c>
      <c r="K37" s="481">
        <f t="shared" si="12"/>
        <v>622.25396744416184</v>
      </c>
      <c r="L37" s="481">
        <f t="shared" si="12"/>
        <v>659.25511382573995</v>
      </c>
      <c r="M37" s="481">
        <f t="shared" si="12"/>
        <v>698.45646286600777</v>
      </c>
      <c r="N37" s="481">
        <f t="shared" si="12"/>
        <v>739.98884542326891</v>
      </c>
      <c r="O37" s="481">
        <f t="shared" si="12"/>
        <v>783.99087196349865</v>
      </c>
      <c r="P37" s="481">
        <f t="shared" si="12"/>
        <v>830.60939515989048</v>
      </c>
      <c r="Q37" s="481">
        <f t="shared" si="12"/>
        <v>880</v>
      </c>
      <c r="R37" s="481">
        <f t="shared" si="12"/>
        <v>932.32752303617985</v>
      </c>
      <c r="S37" s="481">
        <f t="shared" si="12"/>
        <v>987.76660251224848</v>
      </c>
      <c r="T37" s="481">
        <f t="shared" si="12"/>
        <v>1046.5022612023947</v>
      </c>
      <c r="U37" s="481">
        <f t="shared" si="12"/>
        <v>1108.7305239074885</v>
      </c>
      <c r="V37" s="481">
        <f t="shared" si="12"/>
        <v>1174.6590716696305</v>
      </c>
      <c r="W37" s="481">
        <f t="shared" si="12"/>
        <v>1244.5079348883239</v>
      </c>
      <c r="X37" s="481">
        <f t="shared" si="12"/>
        <v>1318.5102276514801</v>
      </c>
      <c r="Y37" s="481">
        <f t="shared" si="12"/>
        <v>1396.9129257320158</v>
      </c>
      <c r="Z37" s="481">
        <f t="shared" si="12"/>
        <v>1479.9776908465378</v>
      </c>
      <c r="AA37" s="481">
        <f t="shared" si="12"/>
        <v>1567.9817439269975</v>
      </c>
    </row>
    <row r="38" spans="1:27" x14ac:dyDescent="0.2">
      <c r="A38" t="s">
        <v>102</v>
      </c>
      <c r="B38" t="s">
        <v>906</v>
      </c>
      <c r="C38" s="483"/>
      <c r="D38" s="483"/>
      <c r="E38" s="483"/>
      <c r="F38" s="483"/>
      <c r="G38" s="483"/>
      <c r="H38" s="483"/>
      <c r="I38" s="483"/>
      <c r="J38" s="483"/>
      <c r="K38" s="483"/>
      <c r="L38" s="483"/>
      <c r="M38" s="483"/>
      <c r="N38" s="483"/>
      <c r="O38" s="483"/>
      <c r="P38" s="483"/>
      <c r="Q38" s="483"/>
      <c r="R38" s="483"/>
      <c r="S38" s="483"/>
      <c r="T38" s="483"/>
      <c r="U38" s="483"/>
      <c r="V38" s="483"/>
      <c r="W38" s="483"/>
      <c r="X38" s="483"/>
      <c r="Y38" s="483"/>
      <c r="Z38" s="483"/>
      <c r="AA38" s="483"/>
    </row>
    <row r="39" spans="1:27" x14ac:dyDescent="0.2">
      <c r="A39" t="s">
        <v>926</v>
      </c>
      <c r="B39" t="s">
        <v>906</v>
      </c>
      <c r="C39" s="482">
        <f t="shared" ref="C39:AA39" si="13">C20*C27/C37</f>
        <v>17.285915543964347</v>
      </c>
      <c r="D39" s="482">
        <f t="shared" si="13"/>
        <v>16.315731653133149</v>
      </c>
      <c r="E39" s="482">
        <f t="shared" si="13"/>
        <v>15.4</v>
      </c>
      <c r="F39" s="482">
        <f t="shared" si="13"/>
        <v>14.535664415298079</v>
      </c>
      <c r="G39" s="482">
        <f t="shared" si="13"/>
        <v>13.719840259361227</v>
      </c>
      <c r="H39" s="482">
        <f t="shared" si="13"/>
        <v>12.949804794907203</v>
      </c>
      <c r="I39" s="482">
        <f t="shared" si="13"/>
        <v>12.222988100155138</v>
      </c>
      <c r="J39" s="482">
        <f t="shared" si="13"/>
        <v>11.536964491950448</v>
      </c>
      <c r="K39" s="482">
        <f t="shared" si="13"/>
        <v>10.889444430272832</v>
      </c>
      <c r="L39" s="482">
        <f t="shared" si="13"/>
        <v>10.278266877109264</v>
      </c>
      <c r="M39" s="482">
        <f t="shared" si="13"/>
        <v>9.7013920841905232</v>
      </c>
      <c r="N39" s="482">
        <f t="shared" si="13"/>
        <v>9.1568947855209508</v>
      </c>
      <c r="O39" s="482">
        <f t="shared" si="13"/>
        <v>8.6429577719821715</v>
      </c>
      <c r="P39" s="482">
        <f t="shared" si="13"/>
        <v>8.1578658265665709</v>
      </c>
      <c r="Q39" s="482">
        <f t="shared" si="13"/>
        <v>7.7</v>
      </c>
      <c r="R39" s="482">
        <f t="shared" si="13"/>
        <v>7.2678322076490396</v>
      </c>
      <c r="S39" s="482">
        <f t="shared" si="13"/>
        <v>6.8599201296806109</v>
      </c>
      <c r="T39" s="482">
        <f t="shared" si="13"/>
        <v>6.4749023974536009</v>
      </c>
      <c r="U39" s="482">
        <f t="shared" si="13"/>
        <v>6.1114940500775665</v>
      </c>
      <c r="V39" s="482">
        <f t="shared" si="13"/>
        <v>5.7684822459752221</v>
      </c>
      <c r="W39" s="482">
        <f t="shared" si="13"/>
        <v>5.444722215136415</v>
      </c>
      <c r="X39" s="482">
        <f t="shared" si="13"/>
        <v>5.139133438554631</v>
      </c>
      <c r="Y39" s="482">
        <f t="shared" si="13"/>
        <v>4.8506960420952607</v>
      </c>
      <c r="Z39" s="482">
        <f t="shared" si="13"/>
        <v>4.5784473927604754</v>
      </c>
      <c r="AA39" s="482">
        <f t="shared" si="13"/>
        <v>4.3214788859910849</v>
      </c>
    </row>
    <row r="40" spans="1:27" x14ac:dyDescent="0.2">
      <c r="A40" t="s">
        <v>927</v>
      </c>
      <c r="C40" s="472" t="s">
        <v>15</v>
      </c>
      <c r="D40" s="472" t="s">
        <v>16</v>
      </c>
      <c r="E40" s="472" t="s">
        <v>17</v>
      </c>
      <c r="F40" s="472" t="s">
        <v>18</v>
      </c>
      <c r="G40" s="472" t="s">
        <v>19</v>
      </c>
      <c r="H40" s="472" t="s">
        <v>20</v>
      </c>
      <c r="I40" s="472" t="s">
        <v>35</v>
      </c>
      <c r="J40" s="472" t="s">
        <v>210</v>
      </c>
      <c r="K40" s="472" t="s">
        <v>211</v>
      </c>
      <c r="L40" s="472" t="s">
        <v>45</v>
      </c>
      <c r="M40" s="472" t="s">
        <v>212</v>
      </c>
      <c r="N40" s="472" t="s">
        <v>213</v>
      </c>
      <c r="O40" s="472" t="s">
        <v>725</v>
      </c>
      <c r="P40" s="472" t="s">
        <v>53</v>
      </c>
      <c r="Q40" s="472" t="s">
        <v>734</v>
      </c>
      <c r="R40" s="472" t="s">
        <v>737</v>
      </c>
      <c r="S40" s="472" t="s">
        <v>214</v>
      </c>
      <c r="T40" s="472" t="s">
        <v>740</v>
      </c>
      <c r="U40" s="472" t="s">
        <v>247</v>
      </c>
      <c r="V40" s="472" t="s">
        <v>744</v>
      </c>
      <c r="W40" s="472" t="s">
        <v>746</v>
      </c>
      <c r="X40" s="472" t="s">
        <v>259</v>
      </c>
      <c r="Y40" s="472" t="s">
        <v>749</v>
      </c>
      <c r="Z40" s="472" t="s">
        <v>751</v>
      </c>
      <c r="AA40" s="472" t="s">
        <v>887</v>
      </c>
    </row>
    <row r="41" spans="1:27" x14ac:dyDescent="0.2">
      <c r="A41" t="s">
        <v>928</v>
      </c>
      <c r="B41" t="s">
        <v>917</v>
      </c>
      <c r="C41" s="481">
        <f t="shared" ref="C41:AA41" si="14">((2^(1/12))^(C4+7-49))*440</f>
        <v>440</v>
      </c>
      <c r="D41" s="481">
        <f t="shared" si="14"/>
        <v>466.16376151808993</v>
      </c>
      <c r="E41" s="481">
        <f t="shared" si="14"/>
        <v>493.88330125612413</v>
      </c>
      <c r="F41" s="481">
        <f t="shared" si="14"/>
        <v>523.25113060119736</v>
      </c>
      <c r="G41" s="481">
        <f t="shared" si="14"/>
        <v>554.36526195374415</v>
      </c>
      <c r="H41" s="481">
        <f t="shared" si="14"/>
        <v>587.32953583481515</v>
      </c>
      <c r="I41" s="481">
        <f t="shared" si="14"/>
        <v>622.25396744416184</v>
      </c>
      <c r="J41" s="481">
        <f t="shared" si="14"/>
        <v>659.25511382573995</v>
      </c>
      <c r="K41" s="481">
        <f t="shared" si="14"/>
        <v>698.45646286600777</v>
      </c>
      <c r="L41" s="481">
        <f t="shared" si="14"/>
        <v>739.98884542326891</v>
      </c>
      <c r="M41" s="481">
        <f t="shared" si="14"/>
        <v>783.99087196349865</v>
      </c>
      <c r="N41" s="481">
        <f t="shared" si="14"/>
        <v>830.60939515989048</v>
      </c>
      <c r="O41" s="481">
        <f t="shared" si="14"/>
        <v>880</v>
      </c>
      <c r="P41" s="481">
        <f t="shared" si="14"/>
        <v>932.32752303617985</v>
      </c>
      <c r="Q41" s="481">
        <f t="shared" si="14"/>
        <v>987.76660251224848</v>
      </c>
      <c r="R41" s="481">
        <f t="shared" si="14"/>
        <v>1046.5022612023947</v>
      </c>
      <c r="S41" s="481">
        <f t="shared" si="14"/>
        <v>1108.7305239074885</v>
      </c>
      <c r="T41" s="481">
        <f t="shared" si="14"/>
        <v>1174.6590716696305</v>
      </c>
      <c r="U41" s="481">
        <f t="shared" si="14"/>
        <v>1244.5079348883239</v>
      </c>
      <c r="V41" s="481">
        <f t="shared" si="14"/>
        <v>1318.5102276514801</v>
      </c>
      <c r="W41" s="481">
        <f t="shared" si="14"/>
        <v>1396.9129257320158</v>
      </c>
      <c r="X41" s="481">
        <f t="shared" si="14"/>
        <v>1479.9776908465378</v>
      </c>
      <c r="Y41" s="481">
        <f t="shared" si="14"/>
        <v>1567.9817439269975</v>
      </c>
      <c r="Z41" s="481">
        <f t="shared" si="14"/>
        <v>1661.2187903197812</v>
      </c>
      <c r="AA41" s="481">
        <f t="shared" si="14"/>
        <v>1760.0000000000005</v>
      </c>
    </row>
    <row r="42" spans="1:27" x14ac:dyDescent="0.2">
      <c r="A42" t="s">
        <v>104</v>
      </c>
      <c r="B42" t="s">
        <v>906</v>
      </c>
      <c r="C42" s="483"/>
      <c r="D42" s="483"/>
      <c r="E42" s="483"/>
      <c r="F42" s="483"/>
      <c r="G42" s="483"/>
      <c r="H42" s="483"/>
      <c r="I42" s="483"/>
      <c r="J42" s="483"/>
      <c r="K42" s="483"/>
      <c r="L42" s="483"/>
      <c r="M42" s="483"/>
      <c r="N42" s="483"/>
      <c r="O42" s="483"/>
      <c r="P42" s="483"/>
      <c r="Q42" s="483"/>
      <c r="R42" s="483"/>
      <c r="S42" s="483"/>
      <c r="T42" s="483"/>
      <c r="U42" s="483"/>
      <c r="V42" s="483"/>
      <c r="W42" s="483"/>
      <c r="X42" s="483"/>
      <c r="Y42" s="483"/>
      <c r="Z42" s="483"/>
      <c r="AA42" s="483"/>
    </row>
    <row r="43" spans="1:27" x14ac:dyDescent="0.2">
      <c r="A43" t="s">
        <v>929</v>
      </c>
      <c r="B43" t="s">
        <v>906</v>
      </c>
      <c r="C43" s="482">
        <f t="shared" ref="C43:AA43" si="15">C20*C27/C41</f>
        <v>15.4</v>
      </c>
      <c r="D43" s="482">
        <f t="shared" si="15"/>
        <v>14.535664415298079</v>
      </c>
      <c r="E43" s="482">
        <f t="shared" si="15"/>
        <v>13.719840259361225</v>
      </c>
      <c r="F43" s="482">
        <f t="shared" si="15"/>
        <v>12.949804794907202</v>
      </c>
      <c r="G43" s="482">
        <f t="shared" si="15"/>
        <v>12.222988100155138</v>
      </c>
      <c r="H43" s="482">
        <f t="shared" si="15"/>
        <v>11.536964491950448</v>
      </c>
      <c r="I43" s="482">
        <f t="shared" si="15"/>
        <v>10.889444430272833</v>
      </c>
      <c r="J43" s="482">
        <f t="shared" si="15"/>
        <v>10.278266877109264</v>
      </c>
      <c r="K43" s="482">
        <f t="shared" si="15"/>
        <v>9.7013920841905232</v>
      </c>
      <c r="L43" s="482">
        <f t="shared" si="15"/>
        <v>9.1568947855209508</v>
      </c>
      <c r="M43" s="482">
        <f t="shared" si="15"/>
        <v>8.6429577719821715</v>
      </c>
      <c r="N43" s="482">
        <f t="shared" si="15"/>
        <v>8.1578658265665709</v>
      </c>
      <c r="O43" s="482">
        <f t="shared" si="15"/>
        <v>7.7</v>
      </c>
      <c r="P43" s="482">
        <f t="shared" si="15"/>
        <v>7.2678322076490396</v>
      </c>
      <c r="Q43" s="482">
        <f t="shared" si="15"/>
        <v>6.8599201296806109</v>
      </c>
      <c r="R43" s="482">
        <f t="shared" si="15"/>
        <v>6.4749023974536009</v>
      </c>
      <c r="S43" s="482">
        <f t="shared" si="15"/>
        <v>6.1114940500775674</v>
      </c>
      <c r="T43" s="482">
        <f t="shared" si="15"/>
        <v>5.7684822459752221</v>
      </c>
      <c r="U43" s="482">
        <f t="shared" si="15"/>
        <v>5.4447222151364141</v>
      </c>
      <c r="V43" s="482">
        <f t="shared" si="15"/>
        <v>5.139133438554631</v>
      </c>
      <c r="W43" s="482">
        <f t="shared" si="15"/>
        <v>4.8506960420952607</v>
      </c>
      <c r="X43" s="482">
        <f t="shared" si="15"/>
        <v>4.5784473927604754</v>
      </c>
      <c r="Y43" s="482">
        <f t="shared" si="15"/>
        <v>4.3214788859910849</v>
      </c>
      <c r="Z43" s="482">
        <f t="shared" si="15"/>
        <v>4.0789329132832854</v>
      </c>
      <c r="AA43" s="482">
        <f t="shared" si="15"/>
        <v>3.8499999999999992</v>
      </c>
    </row>
    <row r="44" spans="1:27" x14ac:dyDescent="0.2">
      <c r="A44" t="s">
        <v>930</v>
      </c>
      <c r="C44" s="472" t="s">
        <v>17</v>
      </c>
      <c r="D44" s="472" t="s">
        <v>18</v>
      </c>
      <c r="E44" s="472" t="s">
        <v>19</v>
      </c>
      <c r="F44" s="472" t="s">
        <v>20</v>
      </c>
      <c r="G44" s="472" t="s">
        <v>35</v>
      </c>
      <c r="H44" s="472" t="s">
        <v>210</v>
      </c>
      <c r="I44" s="472" t="s">
        <v>211</v>
      </c>
      <c r="J44" s="472" t="s">
        <v>45</v>
      </c>
      <c r="K44" s="472" t="s">
        <v>212</v>
      </c>
      <c r="L44" s="472" t="s">
        <v>213</v>
      </c>
      <c r="M44" s="472" t="s">
        <v>725</v>
      </c>
      <c r="N44" s="472" t="s">
        <v>53</v>
      </c>
      <c r="O44" s="472" t="s">
        <v>734</v>
      </c>
      <c r="P44" s="472" t="s">
        <v>737</v>
      </c>
      <c r="Q44" s="472" t="s">
        <v>214</v>
      </c>
      <c r="R44" s="472" t="s">
        <v>740</v>
      </c>
      <c r="S44" s="472" t="s">
        <v>247</v>
      </c>
      <c r="T44" s="472" t="s">
        <v>744</v>
      </c>
      <c r="U44" s="472" t="s">
        <v>746</v>
      </c>
      <c r="V44" s="472" t="s">
        <v>259</v>
      </c>
      <c r="W44" s="472" t="s">
        <v>749</v>
      </c>
      <c r="X44" s="472" t="s">
        <v>751</v>
      </c>
      <c r="Y44" s="472" t="s">
        <v>887</v>
      </c>
      <c r="Z44" s="472" t="s">
        <v>265</v>
      </c>
      <c r="AA44" s="472" t="s">
        <v>888</v>
      </c>
    </row>
    <row r="45" spans="1:27" x14ac:dyDescent="0.2">
      <c r="A45" t="s">
        <v>931</v>
      </c>
      <c r="B45" t="s">
        <v>917</v>
      </c>
      <c r="C45" s="481">
        <f t="shared" ref="C45:AA45" si="16">((2^(1/12))^(C4+9-49))*440</f>
        <v>493.88330125612413</v>
      </c>
      <c r="D45" s="481">
        <f t="shared" si="16"/>
        <v>523.25113060119736</v>
      </c>
      <c r="E45" s="481">
        <f t="shared" si="16"/>
        <v>554.36526195374415</v>
      </c>
      <c r="F45" s="481">
        <f t="shared" si="16"/>
        <v>587.32953583481515</v>
      </c>
      <c r="G45" s="481">
        <f t="shared" si="16"/>
        <v>622.25396744416184</v>
      </c>
      <c r="H45" s="481">
        <f t="shared" si="16"/>
        <v>659.25511382573995</v>
      </c>
      <c r="I45" s="481">
        <f t="shared" si="16"/>
        <v>698.45646286600777</v>
      </c>
      <c r="J45" s="481">
        <f t="shared" si="16"/>
        <v>739.98884542326891</v>
      </c>
      <c r="K45" s="481">
        <f t="shared" si="16"/>
        <v>783.99087196349865</v>
      </c>
      <c r="L45" s="481">
        <f t="shared" si="16"/>
        <v>830.60939515989048</v>
      </c>
      <c r="M45" s="481">
        <f t="shared" si="16"/>
        <v>880</v>
      </c>
      <c r="N45" s="481">
        <f t="shared" si="16"/>
        <v>932.32752303617985</v>
      </c>
      <c r="O45" s="481">
        <f t="shared" si="16"/>
        <v>987.76660251224848</v>
      </c>
      <c r="P45" s="481">
        <f t="shared" si="16"/>
        <v>1046.5022612023947</v>
      </c>
      <c r="Q45" s="481">
        <f t="shared" si="16"/>
        <v>1108.7305239074885</v>
      </c>
      <c r="R45" s="481">
        <f t="shared" si="16"/>
        <v>1174.6590716696305</v>
      </c>
      <c r="S45" s="481">
        <f t="shared" si="16"/>
        <v>1244.5079348883239</v>
      </c>
      <c r="T45" s="481">
        <f t="shared" si="16"/>
        <v>1318.5102276514801</v>
      </c>
      <c r="U45" s="481">
        <f t="shared" si="16"/>
        <v>1396.9129257320158</v>
      </c>
      <c r="V45" s="481">
        <f t="shared" si="16"/>
        <v>1479.9776908465378</v>
      </c>
      <c r="W45" s="481">
        <f t="shared" si="16"/>
        <v>1567.9817439269975</v>
      </c>
      <c r="X45" s="481">
        <f t="shared" si="16"/>
        <v>1661.2187903197812</v>
      </c>
      <c r="Y45" s="481">
        <f t="shared" si="16"/>
        <v>1760.0000000000005</v>
      </c>
      <c r="Z45" s="481">
        <f t="shared" si="16"/>
        <v>1864.6550460723602</v>
      </c>
      <c r="AA45" s="481">
        <f t="shared" si="16"/>
        <v>1975.533205024497</v>
      </c>
    </row>
    <row r="46" spans="1:27" x14ac:dyDescent="0.2">
      <c r="A46" t="s">
        <v>106</v>
      </c>
      <c r="B46" t="s">
        <v>906</v>
      </c>
      <c r="C46" s="483"/>
      <c r="D46" s="483"/>
      <c r="E46" s="483"/>
      <c r="F46" s="483"/>
      <c r="G46" s="483"/>
      <c r="H46" s="483"/>
      <c r="I46" s="483"/>
      <c r="J46" s="483"/>
      <c r="K46" s="483"/>
      <c r="L46" s="483"/>
      <c r="M46" s="483"/>
      <c r="N46" s="483"/>
      <c r="O46" s="483"/>
      <c r="P46" s="483"/>
      <c r="Q46" s="483"/>
      <c r="R46" s="483"/>
      <c r="S46" s="483"/>
      <c r="T46" s="483"/>
      <c r="U46" s="483"/>
      <c r="V46" s="483"/>
      <c r="W46" s="483"/>
      <c r="X46" s="483"/>
      <c r="Y46" s="483"/>
      <c r="Z46" s="483"/>
      <c r="AA46" s="483"/>
    </row>
    <row r="47" spans="1:27" x14ac:dyDescent="0.2">
      <c r="A47" t="s">
        <v>932</v>
      </c>
      <c r="B47" t="s">
        <v>906</v>
      </c>
      <c r="C47" s="482">
        <f t="shared" ref="C47:AA47" si="17">C20*C27/C45</f>
        <v>13.719840259361225</v>
      </c>
      <c r="D47" s="482">
        <f t="shared" si="17"/>
        <v>12.949804794907202</v>
      </c>
      <c r="E47" s="482">
        <f t="shared" si="17"/>
        <v>12.222988100155137</v>
      </c>
      <c r="F47" s="482">
        <f t="shared" si="17"/>
        <v>11.536964491950448</v>
      </c>
      <c r="G47" s="482">
        <f t="shared" si="17"/>
        <v>10.889444430272833</v>
      </c>
      <c r="H47" s="482">
        <f t="shared" si="17"/>
        <v>10.278266877109264</v>
      </c>
      <c r="I47" s="482">
        <f t="shared" si="17"/>
        <v>9.701392084190525</v>
      </c>
      <c r="J47" s="482">
        <f t="shared" si="17"/>
        <v>9.1568947855209508</v>
      </c>
      <c r="K47" s="482">
        <f t="shared" si="17"/>
        <v>8.6429577719821715</v>
      </c>
      <c r="L47" s="482">
        <f t="shared" si="17"/>
        <v>8.1578658265665709</v>
      </c>
      <c r="M47" s="482">
        <f t="shared" si="17"/>
        <v>7.7</v>
      </c>
      <c r="N47" s="482">
        <f t="shared" si="17"/>
        <v>7.2678322076490396</v>
      </c>
      <c r="O47" s="482">
        <f t="shared" si="17"/>
        <v>6.8599201296806109</v>
      </c>
      <c r="P47" s="482">
        <f t="shared" si="17"/>
        <v>6.4749023974536009</v>
      </c>
      <c r="Q47" s="482">
        <f t="shared" si="17"/>
        <v>6.1114940500775674</v>
      </c>
      <c r="R47" s="482">
        <f t="shared" si="17"/>
        <v>5.7684822459752221</v>
      </c>
      <c r="S47" s="482">
        <f t="shared" si="17"/>
        <v>5.444722215136415</v>
      </c>
      <c r="T47" s="482">
        <f t="shared" si="17"/>
        <v>5.139133438554631</v>
      </c>
      <c r="U47" s="482">
        <f t="shared" si="17"/>
        <v>4.8506960420952598</v>
      </c>
      <c r="V47" s="482">
        <f t="shared" si="17"/>
        <v>4.5784473927604754</v>
      </c>
      <c r="W47" s="482">
        <f t="shared" si="17"/>
        <v>4.3214788859910849</v>
      </c>
      <c r="X47" s="482">
        <f t="shared" si="17"/>
        <v>4.0789329132832854</v>
      </c>
      <c r="Y47" s="482">
        <f t="shared" si="17"/>
        <v>3.8499999999999992</v>
      </c>
      <c r="Z47" s="482">
        <f t="shared" si="17"/>
        <v>3.6339161038245189</v>
      </c>
      <c r="AA47" s="482">
        <f t="shared" si="17"/>
        <v>3.4299600648403055</v>
      </c>
    </row>
    <row r="48" spans="1:27" x14ac:dyDescent="0.2">
      <c r="A48" t="s">
        <v>933</v>
      </c>
      <c r="C48" s="472" t="s">
        <v>19</v>
      </c>
      <c r="D48" s="472" t="s">
        <v>20</v>
      </c>
      <c r="E48" s="472" t="s">
        <v>35</v>
      </c>
      <c r="F48" s="472" t="s">
        <v>210</v>
      </c>
      <c r="G48" s="472" t="s">
        <v>211</v>
      </c>
      <c r="H48" s="472" t="s">
        <v>45</v>
      </c>
      <c r="I48" s="472" t="s">
        <v>212</v>
      </c>
      <c r="J48" s="472" t="s">
        <v>213</v>
      </c>
      <c r="K48" s="472" t="s">
        <v>725</v>
      </c>
      <c r="L48" s="472" t="s">
        <v>53</v>
      </c>
      <c r="M48" s="472" t="s">
        <v>734</v>
      </c>
      <c r="N48" s="472" t="s">
        <v>737</v>
      </c>
      <c r="O48" s="472" t="s">
        <v>214</v>
      </c>
      <c r="P48" s="472" t="s">
        <v>740</v>
      </c>
      <c r="Q48" s="472" t="s">
        <v>247</v>
      </c>
      <c r="R48" s="472" t="s">
        <v>744</v>
      </c>
      <c r="S48" s="472" t="s">
        <v>746</v>
      </c>
      <c r="T48" s="472" t="s">
        <v>259</v>
      </c>
      <c r="U48" s="472" t="s">
        <v>749</v>
      </c>
      <c r="V48" s="472" t="s">
        <v>751</v>
      </c>
      <c r="W48" s="472" t="s">
        <v>887</v>
      </c>
      <c r="X48" s="472" t="s">
        <v>265</v>
      </c>
      <c r="Y48" s="472" t="s">
        <v>888</v>
      </c>
      <c r="Z48" s="472" t="s">
        <v>889</v>
      </c>
      <c r="AA48" s="472" t="s">
        <v>890</v>
      </c>
    </row>
    <row r="49" spans="1:27" x14ac:dyDescent="0.2">
      <c r="A49" t="s">
        <v>934</v>
      </c>
      <c r="B49" t="s">
        <v>917</v>
      </c>
      <c r="C49" s="481">
        <f t="shared" ref="C49:AA49" si="18">((2^(1/12))^(C4+11-49))*440</f>
        <v>554.36526195374415</v>
      </c>
      <c r="D49" s="481">
        <f t="shared" si="18"/>
        <v>587.32953583481515</v>
      </c>
      <c r="E49" s="481">
        <f t="shared" si="18"/>
        <v>622.25396744416184</v>
      </c>
      <c r="F49" s="481">
        <f t="shared" si="18"/>
        <v>659.25511382573995</v>
      </c>
      <c r="G49" s="481">
        <f t="shared" si="18"/>
        <v>698.45646286600777</v>
      </c>
      <c r="H49" s="481">
        <f t="shared" si="18"/>
        <v>739.98884542326891</v>
      </c>
      <c r="I49" s="481">
        <f t="shared" si="18"/>
        <v>783.99087196349865</v>
      </c>
      <c r="J49" s="481">
        <f t="shared" si="18"/>
        <v>830.60939515989048</v>
      </c>
      <c r="K49" s="481">
        <f t="shared" si="18"/>
        <v>880</v>
      </c>
      <c r="L49" s="481">
        <f t="shared" si="18"/>
        <v>932.32752303617985</v>
      </c>
      <c r="M49" s="481">
        <f t="shared" si="18"/>
        <v>987.76660251224848</v>
      </c>
      <c r="N49" s="481">
        <f t="shared" si="18"/>
        <v>1046.5022612023947</v>
      </c>
      <c r="O49" s="481">
        <f t="shared" si="18"/>
        <v>1108.7305239074885</v>
      </c>
      <c r="P49" s="481">
        <f t="shared" si="18"/>
        <v>1174.6590716696305</v>
      </c>
      <c r="Q49" s="481">
        <f t="shared" si="18"/>
        <v>1244.5079348883239</v>
      </c>
      <c r="R49" s="481">
        <f t="shared" si="18"/>
        <v>1318.5102276514801</v>
      </c>
      <c r="S49" s="481">
        <f t="shared" si="18"/>
        <v>1396.9129257320158</v>
      </c>
      <c r="T49" s="481">
        <f t="shared" si="18"/>
        <v>1479.9776908465378</v>
      </c>
      <c r="U49" s="481">
        <f t="shared" si="18"/>
        <v>1567.9817439269975</v>
      </c>
      <c r="V49" s="481">
        <f t="shared" si="18"/>
        <v>1661.2187903197812</v>
      </c>
      <c r="W49" s="481">
        <f t="shared" si="18"/>
        <v>1760.0000000000005</v>
      </c>
      <c r="X49" s="481">
        <f t="shared" si="18"/>
        <v>1864.6550460723602</v>
      </c>
      <c r="Y49" s="481">
        <f t="shared" si="18"/>
        <v>1975.533205024497</v>
      </c>
      <c r="Z49" s="481">
        <f t="shared" si="18"/>
        <v>2093.0045224047904</v>
      </c>
      <c r="AA49" s="481">
        <f t="shared" si="18"/>
        <v>2217.4610478149771</v>
      </c>
    </row>
    <row r="50" spans="1:27" x14ac:dyDescent="0.2">
      <c r="A50" t="s">
        <v>108</v>
      </c>
      <c r="B50" t="s">
        <v>906</v>
      </c>
      <c r="C50" s="483"/>
      <c r="D50" s="483"/>
      <c r="E50" s="483"/>
      <c r="F50" s="483"/>
      <c r="G50" s="483"/>
      <c r="H50" s="483"/>
      <c r="I50" s="483"/>
      <c r="J50" s="483"/>
      <c r="K50" s="483"/>
      <c r="L50" s="483"/>
      <c r="M50" s="483"/>
      <c r="N50" s="483"/>
      <c r="O50" s="483"/>
      <c r="P50" s="483"/>
      <c r="Q50" s="483"/>
      <c r="R50" s="483"/>
      <c r="S50" s="483"/>
      <c r="T50" s="483"/>
      <c r="U50" s="483"/>
      <c r="V50" s="483"/>
      <c r="W50" s="483"/>
      <c r="X50" s="483"/>
      <c r="Y50" s="483"/>
      <c r="Z50" s="483"/>
      <c r="AA50" s="483"/>
    </row>
    <row r="51" spans="1:27" x14ac:dyDescent="0.2">
      <c r="A51" t="s">
        <v>935</v>
      </c>
      <c r="B51" t="s">
        <v>906</v>
      </c>
      <c r="C51" s="482">
        <f t="shared" ref="C51:AA51" si="19">C20*C27/C49</f>
        <v>12.222988100155137</v>
      </c>
      <c r="D51" s="482">
        <f t="shared" si="19"/>
        <v>11.536964491950448</v>
      </c>
      <c r="E51" s="482">
        <f t="shared" si="19"/>
        <v>10.889444430272832</v>
      </c>
      <c r="F51" s="482">
        <f t="shared" si="19"/>
        <v>10.278266877109264</v>
      </c>
      <c r="G51" s="482">
        <f t="shared" si="19"/>
        <v>9.701392084190525</v>
      </c>
      <c r="H51" s="482">
        <f t="shared" si="19"/>
        <v>9.1568947855209526</v>
      </c>
      <c r="I51" s="482">
        <f t="shared" si="19"/>
        <v>8.6429577719821733</v>
      </c>
      <c r="J51" s="482">
        <f t="shared" si="19"/>
        <v>8.1578658265665709</v>
      </c>
      <c r="K51" s="482">
        <f t="shared" si="19"/>
        <v>7.7</v>
      </c>
      <c r="L51" s="482">
        <f t="shared" si="19"/>
        <v>7.2678322076490396</v>
      </c>
      <c r="M51" s="482">
        <f t="shared" si="19"/>
        <v>6.8599201296806109</v>
      </c>
      <c r="N51" s="482">
        <f t="shared" si="19"/>
        <v>6.4749023974536009</v>
      </c>
      <c r="O51" s="482">
        <f t="shared" si="19"/>
        <v>6.1114940500775674</v>
      </c>
      <c r="P51" s="482">
        <f t="shared" si="19"/>
        <v>5.7684822459752221</v>
      </c>
      <c r="Q51" s="482">
        <f t="shared" si="19"/>
        <v>5.444722215136415</v>
      </c>
      <c r="R51" s="482">
        <f t="shared" si="19"/>
        <v>5.139133438554631</v>
      </c>
      <c r="S51" s="482">
        <f t="shared" si="19"/>
        <v>4.8506960420952607</v>
      </c>
      <c r="T51" s="482">
        <f t="shared" si="19"/>
        <v>4.5784473927604754</v>
      </c>
      <c r="U51" s="482">
        <f t="shared" si="19"/>
        <v>4.3214788859910849</v>
      </c>
      <c r="V51" s="482">
        <f t="shared" si="19"/>
        <v>4.0789329132832854</v>
      </c>
      <c r="W51" s="482">
        <f t="shared" si="19"/>
        <v>3.8499999999999992</v>
      </c>
      <c r="X51" s="482">
        <f t="shared" si="19"/>
        <v>3.6339161038245189</v>
      </c>
      <c r="Y51" s="482">
        <f t="shared" si="19"/>
        <v>3.4299600648403055</v>
      </c>
      <c r="Z51" s="482">
        <f t="shared" si="19"/>
        <v>3.2374511987267991</v>
      </c>
      <c r="AA51" s="482">
        <f t="shared" si="19"/>
        <v>3.0557470250387837</v>
      </c>
    </row>
    <row r="52" spans="1:27" x14ac:dyDescent="0.2">
      <c r="A52" s="485"/>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row>
    <row r="53" spans="1:27" x14ac:dyDescent="0.2">
      <c r="A53" s="486" t="s">
        <v>971</v>
      </c>
      <c r="B53" s="485"/>
      <c r="C53" s="485"/>
      <c r="D53" s="485"/>
      <c r="E53" s="485"/>
      <c r="F53" s="485"/>
      <c r="G53" s="485"/>
      <c r="H53" s="485"/>
      <c r="I53" s="485"/>
      <c r="J53" s="485"/>
      <c r="K53" s="485"/>
      <c r="L53" s="485"/>
      <c r="M53" s="485"/>
      <c r="N53" s="485"/>
      <c r="O53" s="485"/>
      <c r="P53" s="485"/>
      <c r="Q53" s="485"/>
      <c r="R53" s="485"/>
      <c r="S53" s="485"/>
      <c r="T53" s="485"/>
      <c r="U53" s="485"/>
      <c r="V53" s="485"/>
      <c r="W53" s="485"/>
      <c r="X53" s="485"/>
      <c r="Y53" s="485"/>
      <c r="Z53" s="485"/>
      <c r="AA53" s="485"/>
    </row>
    <row r="54" spans="1:27" x14ac:dyDescent="0.2">
      <c r="A54" t="s">
        <v>972</v>
      </c>
    </row>
    <row r="55" spans="1:27" x14ac:dyDescent="0.2">
      <c r="A55" t="s">
        <v>973</v>
      </c>
    </row>
    <row r="56" spans="1:27" x14ac:dyDescent="0.2">
      <c r="A56" t="s">
        <v>974</v>
      </c>
    </row>
    <row r="58" spans="1:27" ht="18" x14ac:dyDescent="0.25">
      <c r="A58" s="833" t="s">
        <v>6353</v>
      </c>
    </row>
    <row r="59" spans="1:27" x14ac:dyDescent="0.2">
      <c r="A59" s="734" t="s">
        <v>6354</v>
      </c>
    </row>
    <row r="61" spans="1:27" x14ac:dyDescent="0.2">
      <c r="A61" s="609" t="s">
        <v>6355</v>
      </c>
    </row>
    <row r="62" spans="1:27" x14ac:dyDescent="0.2">
      <c r="A62" t="s">
        <v>6356</v>
      </c>
    </row>
    <row r="63" spans="1:27" x14ac:dyDescent="0.2">
      <c r="A63" s="759" t="s">
        <v>6357</v>
      </c>
    </row>
    <row r="64" spans="1:27" x14ac:dyDescent="0.2">
      <c r="A64" t="s">
        <v>6358</v>
      </c>
    </row>
    <row r="66" spans="1:1" x14ac:dyDescent="0.2">
      <c r="A66" s="609" t="s">
        <v>6359</v>
      </c>
    </row>
    <row r="67" spans="1:1" x14ac:dyDescent="0.2">
      <c r="A67" t="s">
        <v>6360</v>
      </c>
    </row>
    <row r="68" spans="1:1" x14ac:dyDescent="0.2">
      <c r="A68" t="s">
        <v>6361</v>
      </c>
    </row>
    <row r="69" spans="1:1" x14ac:dyDescent="0.2">
      <c r="A69" t="s">
        <v>6362</v>
      </c>
    </row>
    <row r="70" spans="1:1" x14ac:dyDescent="0.2">
      <c r="A70" t="s">
        <v>6363</v>
      </c>
    </row>
    <row r="72" spans="1:1" x14ac:dyDescent="0.2">
      <c r="A72" s="609" t="s">
        <v>6364</v>
      </c>
    </row>
    <row r="73" spans="1:1" x14ac:dyDescent="0.2">
      <c r="A73" t="s">
        <v>6365</v>
      </c>
    </row>
    <row r="74" spans="1:1" x14ac:dyDescent="0.2">
      <c r="A74" t="s">
        <v>6366</v>
      </c>
    </row>
    <row r="75" spans="1:1" x14ac:dyDescent="0.2">
      <c r="A75" t="s">
        <v>6367</v>
      </c>
    </row>
    <row r="77" spans="1:1" x14ac:dyDescent="0.2">
      <c r="A77" s="609" t="s">
        <v>6368</v>
      </c>
    </row>
    <row r="78" spans="1:1" x14ac:dyDescent="0.2">
      <c r="A78" t="s">
        <v>6369</v>
      </c>
    </row>
    <row r="79" spans="1:1" x14ac:dyDescent="0.2">
      <c r="A79" t="s">
        <v>6370</v>
      </c>
    </row>
    <row r="80" spans="1:1" x14ac:dyDescent="0.2">
      <c r="A80" t="s">
        <v>6371</v>
      </c>
    </row>
    <row r="81" spans="1:1" x14ac:dyDescent="0.2">
      <c r="A81" t="s">
        <v>6372</v>
      </c>
    </row>
    <row r="84" spans="1:1" ht="18" x14ac:dyDescent="0.25">
      <c r="A84" s="838" t="s">
        <v>7147</v>
      </c>
    </row>
    <row r="85" spans="1:1" x14ac:dyDescent="0.2">
      <c r="A85" s="734" t="s">
        <v>7131</v>
      </c>
    </row>
    <row r="87" spans="1:1" x14ac:dyDescent="0.2">
      <c r="A87" s="839" t="s">
        <v>7132</v>
      </c>
    </row>
    <row r="88" spans="1:1" x14ac:dyDescent="0.2">
      <c r="A88" t="s">
        <v>7148</v>
      </c>
    </row>
    <row r="89" spans="1:1" x14ac:dyDescent="0.2">
      <c r="A89" t="s">
        <v>7149</v>
      </c>
    </row>
    <row r="90" spans="1:1" x14ac:dyDescent="0.2">
      <c r="A90" t="s">
        <v>7150</v>
      </c>
    </row>
    <row r="91" spans="1:1" x14ac:dyDescent="0.2">
      <c r="A91" t="s">
        <v>7151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0FCAA-1715-4E57-807F-7348F96FE7FB}">
  <sheetPr>
    <outlinePr summaryBelow="0" summaryRight="0"/>
  </sheetPr>
  <dimension ref="A1:T93"/>
  <sheetViews>
    <sheetView workbookViewId="0">
      <pane xSplit="2" ySplit="1" topLeftCell="C20" activePane="bottomRight" state="frozen"/>
      <selection pane="topRight" activeCell="C1" sqref="C1"/>
      <selection pane="bottomLeft" activeCell="A2" sqref="A2"/>
      <selection pane="bottomRight" activeCell="C1" sqref="C1:T1048576"/>
    </sheetView>
  </sheetViews>
  <sheetFormatPr defaultColWidth="12.5703125" defaultRowHeight="15" customHeight="1" x14ac:dyDescent="0.2"/>
  <cols>
    <col min="1" max="1" width="137.140625" style="493" customWidth="1"/>
    <col min="2" max="2" width="24.42578125" style="493" customWidth="1"/>
    <col min="3" max="20" width="7.7109375" style="493" customWidth="1"/>
    <col min="21" max="16384" width="12.5703125" style="493"/>
  </cols>
  <sheetData>
    <row r="1" spans="1:20" ht="15" customHeight="1" x14ac:dyDescent="0.2">
      <c r="A1" s="487" t="s">
        <v>203</v>
      </c>
      <c r="B1" s="487" t="s">
        <v>204</v>
      </c>
      <c r="C1" s="488" t="s">
        <v>975</v>
      </c>
      <c r="D1" s="488" t="s">
        <v>976</v>
      </c>
      <c r="E1" s="488" t="s">
        <v>977</v>
      </c>
      <c r="F1" s="489" t="s">
        <v>978</v>
      </c>
      <c r="G1" s="490" t="s">
        <v>979</v>
      </c>
      <c r="H1" s="489" t="s">
        <v>980</v>
      </c>
      <c r="I1" s="490" t="s">
        <v>981</v>
      </c>
      <c r="J1" s="489" t="s">
        <v>753</v>
      </c>
      <c r="K1" s="491" t="s">
        <v>760</v>
      </c>
      <c r="L1" s="491" t="s">
        <v>759</v>
      </c>
      <c r="M1" s="491" t="s">
        <v>763</v>
      </c>
      <c r="N1" s="492" t="s">
        <v>782</v>
      </c>
      <c r="O1" s="492" t="s">
        <v>773</v>
      </c>
      <c r="P1" s="492" t="s">
        <v>787</v>
      </c>
      <c r="Q1" s="492" t="s">
        <v>784</v>
      </c>
      <c r="R1" s="492" t="s">
        <v>792</v>
      </c>
      <c r="S1" s="492" t="s">
        <v>982</v>
      </c>
      <c r="T1" s="492" t="s">
        <v>205</v>
      </c>
    </row>
    <row r="2" spans="1:20" ht="15" customHeight="1" x14ac:dyDescent="0.2">
      <c r="A2" s="487"/>
      <c r="B2" s="487" t="s">
        <v>1</v>
      </c>
      <c r="C2" s="488">
        <v>18</v>
      </c>
      <c r="D2" s="488">
        <v>19</v>
      </c>
      <c r="E2" s="488">
        <v>20</v>
      </c>
      <c r="F2" s="490">
        <v>21</v>
      </c>
      <c r="G2" s="490">
        <v>22</v>
      </c>
      <c r="H2" s="490">
        <v>23</v>
      </c>
      <c r="I2" s="490">
        <v>24</v>
      </c>
      <c r="J2" s="490">
        <v>25</v>
      </c>
      <c r="K2" s="491">
        <v>26</v>
      </c>
      <c r="L2" s="491">
        <v>27</v>
      </c>
      <c r="M2" s="491">
        <v>28</v>
      </c>
      <c r="N2" s="492">
        <v>29</v>
      </c>
      <c r="O2" s="492">
        <v>30</v>
      </c>
      <c r="P2" s="492">
        <v>31</v>
      </c>
      <c r="Q2" s="492">
        <v>32</v>
      </c>
      <c r="R2" s="492">
        <v>33</v>
      </c>
      <c r="S2" s="492">
        <v>34</v>
      </c>
      <c r="T2" s="492">
        <v>35</v>
      </c>
    </row>
    <row r="3" spans="1:20" ht="15" customHeight="1" x14ac:dyDescent="0.2">
      <c r="A3" s="494" t="s">
        <v>61</v>
      </c>
      <c r="B3" s="495" t="s">
        <v>215</v>
      </c>
      <c r="C3" s="496">
        <f t="shared" ref="C3:T3" si="0">C22+4</f>
        <v>94</v>
      </c>
      <c r="D3" s="496">
        <f t="shared" si="0"/>
        <v>89</v>
      </c>
      <c r="E3" s="496">
        <f t="shared" si="0"/>
        <v>84</v>
      </c>
      <c r="F3" s="496">
        <f t="shared" si="0"/>
        <v>79</v>
      </c>
      <c r="G3" s="496">
        <f t="shared" si="0"/>
        <v>75</v>
      </c>
      <c r="H3" s="496">
        <f t="shared" si="0"/>
        <v>71</v>
      </c>
      <c r="I3" s="496">
        <f t="shared" si="0"/>
        <v>67</v>
      </c>
      <c r="J3" s="496">
        <f t="shared" si="0"/>
        <v>63</v>
      </c>
      <c r="K3" s="496">
        <f t="shared" si="0"/>
        <v>61</v>
      </c>
      <c r="L3" s="496">
        <f t="shared" si="0"/>
        <v>59</v>
      </c>
      <c r="M3" s="496">
        <f t="shared" si="0"/>
        <v>53</v>
      </c>
      <c r="N3" s="496">
        <f t="shared" si="0"/>
        <v>51</v>
      </c>
      <c r="O3" s="496">
        <f t="shared" si="0"/>
        <v>49</v>
      </c>
      <c r="P3" s="496">
        <f t="shared" si="0"/>
        <v>47</v>
      </c>
      <c r="Q3" s="496">
        <f t="shared" si="0"/>
        <v>44</v>
      </c>
      <c r="R3" s="496">
        <f t="shared" si="0"/>
        <v>42</v>
      </c>
      <c r="S3" s="496">
        <f t="shared" si="0"/>
        <v>40</v>
      </c>
      <c r="T3" s="496">
        <f t="shared" si="0"/>
        <v>38</v>
      </c>
    </row>
    <row r="4" spans="1:20" ht="15" customHeight="1" x14ac:dyDescent="0.2">
      <c r="A4" s="494" t="s">
        <v>70</v>
      </c>
      <c r="B4" s="495" t="s">
        <v>216</v>
      </c>
      <c r="C4" s="496">
        <v>2.75</v>
      </c>
      <c r="D4" s="496">
        <v>2.75</v>
      </c>
      <c r="E4" s="496">
        <v>2.75</v>
      </c>
      <c r="F4" s="497">
        <v>2.5</v>
      </c>
      <c r="G4" s="497">
        <v>2.5</v>
      </c>
      <c r="H4" s="497">
        <v>2.25</v>
      </c>
      <c r="I4" s="497">
        <v>2.25</v>
      </c>
      <c r="J4" s="497">
        <v>2</v>
      </c>
      <c r="K4" s="498">
        <v>2</v>
      </c>
      <c r="L4" s="498">
        <v>2</v>
      </c>
      <c r="M4" s="498">
        <v>2</v>
      </c>
      <c r="N4" s="499">
        <v>1.75</v>
      </c>
      <c r="O4" s="499">
        <v>1.75</v>
      </c>
      <c r="P4" s="499">
        <v>1.5</v>
      </c>
      <c r="Q4" s="499">
        <v>1.5</v>
      </c>
      <c r="R4" s="499">
        <v>1.375</v>
      </c>
      <c r="S4" s="499">
        <v>1.375</v>
      </c>
      <c r="T4" s="499">
        <v>1.375</v>
      </c>
    </row>
    <row r="5" spans="1:20" ht="15" customHeight="1" x14ac:dyDescent="0.2">
      <c r="A5" s="500" t="s">
        <v>73</v>
      </c>
      <c r="B5" s="501" t="s">
        <v>217</v>
      </c>
      <c r="C5" s="502">
        <v>1.375</v>
      </c>
      <c r="D5" s="502">
        <v>1.375</v>
      </c>
      <c r="E5" s="502">
        <v>1.375</v>
      </c>
      <c r="F5" s="503">
        <v>1.25</v>
      </c>
      <c r="G5" s="503">
        <v>1.25</v>
      </c>
      <c r="H5" s="503">
        <v>1.125</v>
      </c>
      <c r="I5" s="503">
        <v>1.125</v>
      </c>
      <c r="J5" s="503">
        <v>1</v>
      </c>
      <c r="K5" s="504">
        <v>1</v>
      </c>
      <c r="L5" s="504">
        <v>1</v>
      </c>
      <c r="M5" s="504">
        <v>1</v>
      </c>
      <c r="N5" s="505">
        <v>0.875</v>
      </c>
      <c r="O5" s="505">
        <v>0.875</v>
      </c>
      <c r="P5" s="505">
        <v>0.75</v>
      </c>
      <c r="Q5" s="505">
        <v>0.75</v>
      </c>
      <c r="R5" s="505">
        <v>0.6875</v>
      </c>
      <c r="S5" s="505">
        <v>0.6875</v>
      </c>
      <c r="T5" s="505">
        <v>0.6875</v>
      </c>
    </row>
    <row r="6" spans="1:20" ht="15" customHeight="1" x14ac:dyDescent="0.2">
      <c r="A6" s="506" t="s">
        <v>159</v>
      </c>
      <c r="B6" s="506" t="s">
        <v>220</v>
      </c>
      <c r="C6" s="496">
        <v>24</v>
      </c>
      <c r="D6" s="496">
        <v>24</v>
      </c>
      <c r="E6" s="496">
        <v>24</v>
      </c>
      <c r="F6" s="497">
        <v>20</v>
      </c>
      <c r="G6" s="497">
        <v>20</v>
      </c>
      <c r="H6" s="497">
        <v>20</v>
      </c>
      <c r="I6" s="497">
        <v>20</v>
      </c>
      <c r="J6" s="497">
        <v>18</v>
      </c>
      <c r="K6" s="498">
        <v>18</v>
      </c>
      <c r="L6" s="498">
        <v>16</v>
      </c>
      <c r="M6" s="498">
        <v>16</v>
      </c>
      <c r="N6" s="499">
        <v>14</v>
      </c>
      <c r="O6" s="499">
        <v>14</v>
      </c>
      <c r="P6" s="499">
        <v>12</v>
      </c>
      <c r="Q6" s="499">
        <v>12</v>
      </c>
      <c r="R6" s="499">
        <v>10</v>
      </c>
      <c r="S6" s="499">
        <v>10</v>
      </c>
      <c r="T6" s="499">
        <v>10</v>
      </c>
    </row>
    <row r="7" spans="1:20" ht="15" customHeight="1" x14ac:dyDescent="0.2">
      <c r="A7" s="506" t="s">
        <v>76</v>
      </c>
      <c r="B7" s="506" t="s">
        <v>221</v>
      </c>
      <c r="C7" s="496"/>
      <c r="D7" s="496"/>
      <c r="E7" s="496"/>
      <c r="F7" s="497"/>
      <c r="G7" s="497"/>
      <c r="H7" s="497"/>
      <c r="I7" s="497"/>
      <c r="J7" s="497"/>
      <c r="K7" s="498"/>
      <c r="L7" s="498"/>
      <c r="M7" s="498"/>
      <c r="N7" s="499"/>
      <c r="O7" s="499"/>
      <c r="P7" s="499"/>
      <c r="Q7" s="499"/>
      <c r="R7" s="499"/>
      <c r="S7" s="499"/>
      <c r="T7" s="499"/>
    </row>
    <row r="8" spans="1:20" ht="15" customHeight="1" x14ac:dyDescent="0.2">
      <c r="A8" s="506" t="s">
        <v>79</v>
      </c>
      <c r="B8" s="506" t="s">
        <v>222</v>
      </c>
      <c r="C8" s="496">
        <v>0.75</v>
      </c>
      <c r="D8" s="496">
        <v>0.75</v>
      </c>
      <c r="E8" s="496">
        <v>0.75</v>
      </c>
      <c r="F8" s="497">
        <v>0.75</v>
      </c>
      <c r="G8" s="497">
        <v>0.75</v>
      </c>
      <c r="H8" s="497">
        <v>0.75</v>
      </c>
      <c r="I8" s="497">
        <v>0.75</v>
      </c>
      <c r="J8" s="497">
        <v>0.75</v>
      </c>
      <c r="K8" s="498">
        <v>0.75</v>
      </c>
      <c r="L8" s="498">
        <v>0.75</v>
      </c>
      <c r="M8" s="498">
        <v>0.75</v>
      </c>
      <c r="N8" s="499">
        <v>0.75</v>
      </c>
      <c r="O8" s="499">
        <v>0.75</v>
      </c>
      <c r="P8" s="499">
        <v>0.75</v>
      </c>
      <c r="Q8" s="499">
        <v>0.75</v>
      </c>
      <c r="R8" s="499">
        <v>0.75</v>
      </c>
      <c r="S8" s="499">
        <v>0.75</v>
      </c>
      <c r="T8" s="499">
        <v>0.75</v>
      </c>
    </row>
    <row r="9" spans="1:20" ht="15" customHeight="1" x14ac:dyDescent="0.2">
      <c r="A9" s="507" t="s">
        <v>64</v>
      </c>
      <c r="B9" s="506" t="s">
        <v>160</v>
      </c>
      <c r="C9" s="496">
        <f>C34-(C6+C7+C8+C10)</f>
        <v>65.04571593560361</v>
      </c>
      <c r="D9" s="496">
        <f>D34-(D6+D7+D8+D10)</f>
        <v>59.865555442182682</v>
      </c>
      <c r="E9" s="496">
        <f>E34-(E6+E7+E8+E10)</f>
        <v>54.976135016874139</v>
      </c>
      <c r="F9" s="497">
        <f>F34-(F6+F7+F8+F10)</f>
        <v>54.3611366735242</v>
      </c>
      <c r="G9" s="497">
        <f>G34-(G6+G7+G8+G10)</f>
        <v>50.005158284167663</v>
      </c>
      <c r="H9" s="497">
        <v>29.704000000000001</v>
      </c>
      <c r="I9" s="497">
        <v>27.759</v>
      </c>
      <c r="J9" s="497">
        <v>25.881</v>
      </c>
      <c r="K9" s="498">
        <v>24.146999999999998</v>
      </c>
      <c r="L9" s="498">
        <v>23.91</v>
      </c>
      <c r="M9" s="498">
        <v>22.364000000000001</v>
      </c>
      <c r="N9" s="499">
        <v>21.372</v>
      </c>
      <c r="O9" s="499">
        <v>19.995999999999999</v>
      </c>
      <c r="P9" s="499">
        <f>P34-(P6+P7+P8+P10)</f>
        <v>28.307777721091341</v>
      </c>
      <c r="Q9" s="499">
        <f>Q34-(Q6+Q7+Q8+Q10)</f>
        <v>25.863067508437069</v>
      </c>
      <c r="R9" s="499">
        <f>R34-(R6+R7+R8+R10)</f>
        <v>25.5555683367621</v>
      </c>
      <c r="S9" s="499">
        <f>S34-(S6+S7+S8+S10)</f>
        <v>23.377579142083817</v>
      </c>
      <c r="T9" s="499">
        <f>T34-(T6+T7+T8+T10)</f>
        <v>21.321831087928693</v>
      </c>
    </row>
    <row r="10" spans="1:20" ht="15" customHeight="1" x14ac:dyDescent="0.2">
      <c r="A10" s="507" t="s">
        <v>127</v>
      </c>
      <c r="B10" s="507" t="s">
        <v>223</v>
      </c>
      <c r="C10" s="502">
        <v>2.5</v>
      </c>
      <c r="D10" s="502">
        <v>2.5</v>
      </c>
      <c r="E10" s="502">
        <v>2.5</v>
      </c>
      <c r="F10" s="503">
        <v>2.5</v>
      </c>
      <c r="G10" s="503">
        <v>2.5</v>
      </c>
      <c r="H10" s="503">
        <v>2.5</v>
      </c>
      <c r="I10" s="503">
        <v>2.5</v>
      </c>
      <c r="J10" s="503">
        <v>2.5</v>
      </c>
      <c r="K10" s="504">
        <v>2.5</v>
      </c>
      <c r="L10" s="504">
        <v>2.5</v>
      </c>
      <c r="M10" s="504">
        <v>2.5</v>
      </c>
      <c r="N10" s="505">
        <v>2.5</v>
      </c>
      <c r="O10" s="505">
        <v>2.5</v>
      </c>
      <c r="P10" s="505">
        <v>2.5</v>
      </c>
      <c r="Q10" s="505">
        <v>2.5</v>
      </c>
      <c r="R10" s="505">
        <v>2.5</v>
      </c>
      <c r="S10" s="505">
        <v>2.5</v>
      </c>
      <c r="T10" s="505">
        <v>2.5</v>
      </c>
    </row>
    <row r="11" spans="1:20" ht="15" customHeight="1" x14ac:dyDescent="0.2">
      <c r="A11" s="508" t="s">
        <v>129</v>
      </c>
      <c r="B11" s="508" t="s">
        <v>224</v>
      </c>
      <c r="C11" s="502">
        <f>C13+2*C14</f>
        <v>2.25</v>
      </c>
      <c r="D11" s="502">
        <f>D13+2*D14</f>
        <v>2.25</v>
      </c>
      <c r="E11" s="502">
        <f>E13+2*E14</f>
        <v>2.25</v>
      </c>
      <c r="F11" s="503">
        <f>F13+2*F14</f>
        <v>1.875</v>
      </c>
      <c r="G11" s="503">
        <f>G13+2*G14</f>
        <v>1.875</v>
      </c>
      <c r="H11" s="503">
        <f t="shared" ref="H11:O11" si="1">H13+2*H14</f>
        <v>1.875</v>
      </c>
      <c r="I11" s="503">
        <f t="shared" si="1"/>
        <v>1.875</v>
      </c>
      <c r="J11" s="503">
        <f t="shared" si="1"/>
        <v>1.625</v>
      </c>
      <c r="K11" s="504">
        <f t="shared" si="1"/>
        <v>1.625</v>
      </c>
      <c r="L11" s="504">
        <f t="shared" si="1"/>
        <v>1.625</v>
      </c>
      <c r="M11" s="504">
        <f t="shared" si="1"/>
        <v>1.625</v>
      </c>
      <c r="N11" s="505">
        <f t="shared" si="1"/>
        <v>1.5</v>
      </c>
      <c r="O11" s="505">
        <f t="shared" si="1"/>
        <v>1.5</v>
      </c>
      <c r="P11" s="505">
        <f>P13+2*P14</f>
        <v>1.25</v>
      </c>
      <c r="Q11" s="505">
        <f>Q13+2*Q14</f>
        <v>1.25</v>
      </c>
      <c r="R11" s="505">
        <f>R13+2*R14</f>
        <v>1.125</v>
      </c>
      <c r="S11" s="505">
        <f>S13+2*S14</f>
        <v>1.125</v>
      </c>
      <c r="T11" s="505">
        <f>T13+2*T14</f>
        <v>1.125</v>
      </c>
    </row>
    <row r="12" spans="1:20" ht="15" customHeight="1" x14ac:dyDescent="0.2">
      <c r="A12" s="508" t="s">
        <v>131</v>
      </c>
      <c r="B12" s="508" t="s">
        <v>225</v>
      </c>
      <c r="C12" s="502">
        <f>C4-C11</f>
        <v>0.5</v>
      </c>
      <c r="D12" s="502">
        <f>D4-D11</f>
        <v>0.5</v>
      </c>
      <c r="E12" s="502">
        <f>E4-E11</f>
        <v>0.5</v>
      </c>
      <c r="F12" s="503">
        <f>F4-F11</f>
        <v>0.625</v>
      </c>
      <c r="G12" s="503">
        <f>G4-G11</f>
        <v>0.625</v>
      </c>
      <c r="H12" s="503">
        <f t="shared" ref="H12:O12" si="2">H4-H11</f>
        <v>0.375</v>
      </c>
      <c r="I12" s="503">
        <f t="shared" si="2"/>
        <v>0.375</v>
      </c>
      <c r="J12" s="503">
        <f t="shared" si="2"/>
        <v>0.375</v>
      </c>
      <c r="K12" s="504">
        <f t="shared" si="2"/>
        <v>0.375</v>
      </c>
      <c r="L12" s="504">
        <f t="shared" si="2"/>
        <v>0.375</v>
      </c>
      <c r="M12" s="504">
        <f t="shared" si="2"/>
        <v>0.375</v>
      </c>
      <c r="N12" s="505">
        <f t="shared" si="2"/>
        <v>0.25</v>
      </c>
      <c r="O12" s="505">
        <f t="shared" si="2"/>
        <v>0.25</v>
      </c>
      <c r="P12" s="505">
        <f>P4-P11</f>
        <v>0.25</v>
      </c>
      <c r="Q12" s="505">
        <f>Q4-Q11</f>
        <v>0.25</v>
      </c>
      <c r="R12" s="505">
        <f>R4-R11</f>
        <v>0.25</v>
      </c>
      <c r="S12" s="505">
        <f>S4-S11</f>
        <v>0.25</v>
      </c>
      <c r="T12" s="505">
        <f>T4-T11</f>
        <v>0.25</v>
      </c>
    </row>
    <row r="13" spans="1:20" ht="15" customHeight="1" x14ac:dyDescent="0.2">
      <c r="A13" s="508" t="s">
        <v>133</v>
      </c>
      <c r="B13" s="508" t="s">
        <v>80</v>
      </c>
      <c r="C13" s="502">
        <v>1.5</v>
      </c>
      <c r="D13" s="502">
        <v>1.5</v>
      </c>
      <c r="E13" s="502">
        <v>1.5</v>
      </c>
      <c r="F13" s="503">
        <v>1.25</v>
      </c>
      <c r="G13" s="503">
        <v>1.25</v>
      </c>
      <c r="H13" s="503">
        <v>1.25</v>
      </c>
      <c r="I13" s="503">
        <v>1.25</v>
      </c>
      <c r="J13" s="503">
        <v>1.125</v>
      </c>
      <c r="K13" s="504">
        <v>1.125</v>
      </c>
      <c r="L13" s="504">
        <v>1.125</v>
      </c>
      <c r="M13" s="504">
        <v>1.125</v>
      </c>
      <c r="N13" s="505">
        <v>1</v>
      </c>
      <c r="O13" s="505">
        <v>1</v>
      </c>
      <c r="P13" s="505">
        <v>0.875</v>
      </c>
      <c r="Q13" s="505">
        <v>0.875</v>
      </c>
      <c r="R13" s="505">
        <v>0.75</v>
      </c>
      <c r="S13" s="505">
        <v>0.75</v>
      </c>
      <c r="T13" s="505">
        <v>0.75</v>
      </c>
    </row>
    <row r="14" spans="1:20" ht="15" customHeight="1" x14ac:dyDescent="0.2">
      <c r="A14" s="508" t="s">
        <v>135</v>
      </c>
      <c r="B14" s="508" t="s">
        <v>226</v>
      </c>
      <c r="C14" s="502">
        <v>0.375</v>
      </c>
      <c r="D14" s="502">
        <v>0.375</v>
      </c>
      <c r="E14" s="502">
        <v>0.375</v>
      </c>
      <c r="F14" s="503">
        <v>0.3125</v>
      </c>
      <c r="G14" s="503">
        <v>0.3125</v>
      </c>
      <c r="H14" s="503">
        <v>0.3125</v>
      </c>
      <c r="I14" s="503">
        <v>0.3125</v>
      </c>
      <c r="J14" s="503">
        <v>0.25</v>
      </c>
      <c r="K14" s="504">
        <v>0.25</v>
      </c>
      <c r="L14" s="504">
        <v>0.25</v>
      </c>
      <c r="M14" s="504">
        <v>0.25</v>
      </c>
      <c r="N14" s="505">
        <v>0.25</v>
      </c>
      <c r="O14" s="505">
        <v>0.25</v>
      </c>
      <c r="P14" s="505">
        <v>0.1875</v>
      </c>
      <c r="Q14" s="505">
        <v>0.1875</v>
      </c>
      <c r="R14" s="505">
        <v>0.1875</v>
      </c>
      <c r="S14" s="505">
        <v>0.1875</v>
      </c>
      <c r="T14" s="505">
        <v>0.1875</v>
      </c>
    </row>
    <row r="15" spans="1:20" ht="15" customHeight="1" x14ac:dyDescent="0.2">
      <c r="A15" s="509" t="s">
        <v>137</v>
      </c>
      <c r="B15" s="509" t="s">
        <v>123</v>
      </c>
      <c r="C15" s="502">
        <f>C6+C7+C8+1-C18</f>
        <v>21.75</v>
      </c>
      <c r="D15" s="502">
        <f>D6+D7+D8+1-D18</f>
        <v>21.75</v>
      </c>
      <c r="E15" s="502">
        <f>E6+E7+E8+1-E18</f>
        <v>21.75</v>
      </c>
      <c r="F15" s="503">
        <f>F6+F7+F8+1-F18</f>
        <v>17.75</v>
      </c>
      <c r="G15" s="503">
        <f>G6+G7+G8+1-G18</f>
        <v>17.75</v>
      </c>
      <c r="H15" s="503">
        <f t="shared" ref="H15:O15" si="3">H6+H7+H8+1-H18</f>
        <v>17.75</v>
      </c>
      <c r="I15" s="503">
        <f t="shared" si="3"/>
        <v>17.75</v>
      </c>
      <c r="J15" s="503">
        <f t="shared" si="3"/>
        <v>15.75</v>
      </c>
      <c r="K15" s="504">
        <f t="shared" si="3"/>
        <v>15.75</v>
      </c>
      <c r="L15" s="504">
        <f t="shared" si="3"/>
        <v>13.75</v>
      </c>
      <c r="M15" s="504">
        <f t="shared" si="3"/>
        <v>13.75</v>
      </c>
      <c r="N15" s="505">
        <f t="shared" si="3"/>
        <v>11.75</v>
      </c>
      <c r="O15" s="505">
        <f t="shared" si="3"/>
        <v>11.75</v>
      </c>
      <c r="P15" s="505">
        <f>P6+P7+P8+1-P18</f>
        <v>9.75</v>
      </c>
      <c r="Q15" s="505">
        <f>Q6+Q7+Q8+1-Q18</f>
        <v>9.75</v>
      </c>
      <c r="R15" s="505">
        <f>R6+R7+R8+1-R18</f>
        <v>7.75</v>
      </c>
      <c r="S15" s="505">
        <f>S6+S7+S8+1-S18</f>
        <v>7.75</v>
      </c>
      <c r="T15" s="505">
        <f>T6+T7+T8+1-T18</f>
        <v>7.75</v>
      </c>
    </row>
    <row r="16" spans="1:20" ht="15" customHeight="1" x14ac:dyDescent="0.2">
      <c r="A16" s="509" t="s">
        <v>96</v>
      </c>
      <c r="B16" s="509" t="s">
        <v>124</v>
      </c>
      <c r="C16" s="502">
        <f>C5-(C13/2)-C14/2</f>
        <v>0.4375</v>
      </c>
      <c r="D16" s="502">
        <f>D5-(D13/2)-D14/2</f>
        <v>0.4375</v>
      </c>
      <c r="E16" s="502">
        <f>E5-(E13/2)-E14/2</f>
        <v>0.4375</v>
      </c>
      <c r="F16" s="503">
        <f>F5-(F13/2)-F14/2</f>
        <v>0.46875</v>
      </c>
      <c r="G16" s="503">
        <f>G5-(G13/2)-G14/2</f>
        <v>0.46875</v>
      </c>
      <c r="H16" s="503">
        <f t="shared" ref="H16:O16" si="4">H5-(H13/2)-H14/2</f>
        <v>0.34375</v>
      </c>
      <c r="I16" s="503">
        <f t="shared" si="4"/>
        <v>0.34375</v>
      </c>
      <c r="J16" s="503">
        <f t="shared" si="4"/>
        <v>0.3125</v>
      </c>
      <c r="K16" s="504">
        <f t="shared" si="4"/>
        <v>0.3125</v>
      </c>
      <c r="L16" s="504">
        <f t="shared" si="4"/>
        <v>0.3125</v>
      </c>
      <c r="M16" s="504">
        <f t="shared" si="4"/>
        <v>0.3125</v>
      </c>
      <c r="N16" s="505">
        <f t="shared" si="4"/>
        <v>0.25</v>
      </c>
      <c r="O16" s="505">
        <f t="shared" si="4"/>
        <v>0.25</v>
      </c>
      <c r="P16" s="505">
        <f>P5-(P13/2)-P14/2</f>
        <v>0.21875</v>
      </c>
      <c r="Q16" s="505">
        <f>Q5-(Q13/2)-Q14/2</f>
        <v>0.21875</v>
      </c>
      <c r="R16" s="505">
        <f>R5-(R13/2)-R14/2</f>
        <v>0.21875</v>
      </c>
      <c r="S16" s="505">
        <f>S5-(S13/2)-S14/2</f>
        <v>0.21875</v>
      </c>
      <c r="T16" s="505">
        <f>T5-(T13/2)-T14/2</f>
        <v>0.21875</v>
      </c>
    </row>
    <row r="17" spans="1:20" ht="15" customHeight="1" x14ac:dyDescent="0.2">
      <c r="A17" s="509" t="s">
        <v>99</v>
      </c>
      <c r="B17" s="509" t="s">
        <v>125</v>
      </c>
      <c r="C17" s="502">
        <f>CEILING((C19+0.25),0.125)</f>
        <v>1</v>
      </c>
      <c r="D17" s="502">
        <f>CEILING((D19+0.25),0.125)</f>
        <v>1</v>
      </c>
      <c r="E17" s="502">
        <f>CEILING((E19+0.25),0.125)</f>
        <v>1</v>
      </c>
      <c r="F17" s="503">
        <f>CEILING((F19+0.25),0.125)</f>
        <v>0.875</v>
      </c>
      <c r="G17" s="503">
        <f>CEILING((G19+0.25),0.125)</f>
        <v>0.875</v>
      </c>
      <c r="H17" s="503">
        <f t="shared" ref="H17:O17" si="5">CEILING((H19+0.25),0.125)</f>
        <v>0.875</v>
      </c>
      <c r="I17" s="503">
        <f t="shared" si="5"/>
        <v>0.875</v>
      </c>
      <c r="J17" s="503">
        <f t="shared" si="5"/>
        <v>0.875</v>
      </c>
      <c r="K17" s="504">
        <f t="shared" si="5"/>
        <v>0.875</v>
      </c>
      <c r="L17" s="504">
        <f t="shared" si="5"/>
        <v>0.875</v>
      </c>
      <c r="M17" s="504">
        <f t="shared" si="5"/>
        <v>0.875</v>
      </c>
      <c r="N17" s="505">
        <f t="shared" si="5"/>
        <v>0.75</v>
      </c>
      <c r="O17" s="505">
        <f t="shared" si="5"/>
        <v>0.75</v>
      </c>
      <c r="P17" s="505">
        <f>CEILING((P19+0.25),0.125)</f>
        <v>0.75</v>
      </c>
      <c r="Q17" s="505">
        <f>CEILING((Q19+0.25),0.125)</f>
        <v>0.75</v>
      </c>
      <c r="R17" s="505">
        <f>CEILING((R19+0.25),0.125)</f>
        <v>0.625</v>
      </c>
      <c r="S17" s="505">
        <f>CEILING((S19+0.25),0.125)</f>
        <v>0.625</v>
      </c>
      <c r="T17" s="505">
        <f>CEILING((T19+0.25),0.125)</f>
        <v>0.625</v>
      </c>
    </row>
    <row r="18" spans="1:20" ht="15" customHeight="1" x14ac:dyDescent="0.2">
      <c r="A18" s="509" t="s">
        <v>101</v>
      </c>
      <c r="B18" s="509" t="s">
        <v>126</v>
      </c>
      <c r="C18" s="502">
        <v>4</v>
      </c>
      <c r="D18" s="502">
        <v>4</v>
      </c>
      <c r="E18" s="502">
        <v>4</v>
      </c>
      <c r="F18" s="503">
        <v>4</v>
      </c>
      <c r="G18" s="503">
        <v>4</v>
      </c>
      <c r="H18" s="503">
        <v>4</v>
      </c>
      <c r="I18" s="503">
        <v>4</v>
      </c>
      <c r="J18" s="503">
        <v>4</v>
      </c>
      <c r="K18" s="504">
        <v>4</v>
      </c>
      <c r="L18" s="504">
        <v>4</v>
      </c>
      <c r="M18" s="504">
        <v>4</v>
      </c>
      <c r="N18" s="505">
        <v>4</v>
      </c>
      <c r="O18" s="505">
        <v>4</v>
      </c>
      <c r="P18" s="505">
        <v>4</v>
      </c>
      <c r="Q18" s="505">
        <v>4</v>
      </c>
      <c r="R18" s="505">
        <v>4</v>
      </c>
      <c r="S18" s="505">
        <v>4</v>
      </c>
      <c r="T18" s="505">
        <v>4</v>
      </c>
    </row>
    <row r="19" spans="1:20" ht="15" customHeight="1" x14ac:dyDescent="0.2">
      <c r="A19" s="510" t="s">
        <v>103</v>
      </c>
      <c r="B19" s="510" t="s">
        <v>227</v>
      </c>
      <c r="C19" s="502">
        <f>C13/2</f>
        <v>0.75</v>
      </c>
      <c r="D19" s="502">
        <f>D13/2</f>
        <v>0.75</v>
      </c>
      <c r="E19" s="502">
        <f>E13/2</f>
        <v>0.75</v>
      </c>
      <c r="F19" s="503">
        <f>F13/2</f>
        <v>0.625</v>
      </c>
      <c r="G19" s="503">
        <f>G13/2</f>
        <v>0.625</v>
      </c>
      <c r="H19" s="503">
        <f t="shared" ref="H19:O19" si="6">H13/2</f>
        <v>0.625</v>
      </c>
      <c r="I19" s="503">
        <f t="shared" si="6"/>
        <v>0.625</v>
      </c>
      <c r="J19" s="503">
        <f t="shared" si="6"/>
        <v>0.5625</v>
      </c>
      <c r="K19" s="504">
        <f t="shared" si="6"/>
        <v>0.5625</v>
      </c>
      <c r="L19" s="504">
        <f t="shared" si="6"/>
        <v>0.5625</v>
      </c>
      <c r="M19" s="504">
        <f t="shared" si="6"/>
        <v>0.5625</v>
      </c>
      <c r="N19" s="505">
        <f t="shared" si="6"/>
        <v>0.5</v>
      </c>
      <c r="O19" s="505">
        <f t="shared" si="6"/>
        <v>0.5</v>
      </c>
      <c r="P19" s="505">
        <f>P13/2</f>
        <v>0.4375</v>
      </c>
      <c r="Q19" s="505">
        <f>Q13/2</f>
        <v>0.4375</v>
      </c>
      <c r="R19" s="505">
        <f>R13/2</f>
        <v>0.375</v>
      </c>
      <c r="S19" s="505">
        <f>S13/2</f>
        <v>0.375</v>
      </c>
      <c r="T19" s="505">
        <f>T13/2</f>
        <v>0.375</v>
      </c>
    </row>
    <row r="20" spans="1:20" ht="15" customHeight="1" x14ac:dyDescent="0.2">
      <c r="A20" s="511" t="s">
        <v>105</v>
      </c>
      <c r="B20" s="511" t="s">
        <v>92</v>
      </c>
      <c r="C20" s="488">
        <v>0.25</v>
      </c>
      <c r="D20" s="488">
        <v>0.25</v>
      </c>
      <c r="E20" s="488">
        <v>0.25</v>
      </c>
      <c r="F20" s="490">
        <v>0.25</v>
      </c>
      <c r="G20" s="490">
        <v>0.25</v>
      </c>
      <c r="H20" s="490">
        <v>0.25</v>
      </c>
      <c r="I20" s="490">
        <v>0.25</v>
      </c>
      <c r="J20" s="490">
        <v>0.25</v>
      </c>
      <c r="K20" s="491">
        <v>0.25</v>
      </c>
      <c r="L20" s="491">
        <v>0.25</v>
      </c>
      <c r="M20" s="491">
        <v>0.25</v>
      </c>
      <c r="N20" s="492">
        <v>0.25</v>
      </c>
      <c r="O20" s="492">
        <v>0.25</v>
      </c>
      <c r="P20" s="492">
        <v>0.25</v>
      </c>
      <c r="Q20" s="492">
        <v>0.25</v>
      </c>
      <c r="R20" s="492">
        <v>0.25</v>
      </c>
      <c r="S20" s="492">
        <v>0.25</v>
      </c>
      <c r="T20" s="492">
        <v>0.25</v>
      </c>
    </row>
    <row r="21" spans="1:20" ht="15" customHeight="1" x14ac:dyDescent="0.2">
      <c r="A21" s="510" t="s">
        <v>107</v>
      </c>
      <c r="B21" s="510" t="s">
        <v>86</v>
      </c>
      <c r="C21" s="502">
        <v>0.04</v>
      </c>
      <c r="D21" s="502">
        <v>0.04</v>
      </c>
      <c r="E21" s="502">
        <v>0.04</v>
      </c>
      <c r="F21" s="503">
        <v>0.04</v>
      </c>
      <c r="G21" s="503">
        <v>0.04</v>
      </c>
      <c r="H21" s="503"/>
      <c r="I21" s="503"/>
      <c r="J21" s="503"/>
      <c r="K21" s="504"/>
      <c r="L21" s="504"/>
      <c r="M21" s="504"/>
      <c r="N21" s="505"/>
      <c r="O21" s="505"/>
      <c r="P21" s="505">
        <v>0.03</v>
      </c>
      <c r="Q21" s="505">
        <v>0.03</v>
      </c>
      <c r="R21" s="505">
        <v>0.03</v>
      </c>
      <c r="S21" s="505">
        <v>0.03</v>
      </c>
      <c r="T21" s="505">
        <v>0.03</v>
      </c>
    </row>
    <row r="22" spans="1:20" ht="15" customHeight="1" x14ac:dyDescent="0.2">
      <c r="A22" s="512" t="s">
        <v>82</v>
      </c>
      <c r="B22" s="512" t="s">
        <v>983</v>
      </c>
      <c r="C22" s="513">
        <v>90</v>
      </c>
      <c r="D22" s="513">
        <v>85</v>
      </c>
      <c r="E22" s="513">
        <v>80</v>
      </c>
      <c r="F22" s="507">
        <v>75</v>
      </c>
      <c r="G22" s="507">
        <v>71</v>
      </c>
      <c r="H22" s="507">
        <v>67</v>
      </c>
      <c r="I22" s="507">
        <v>63</v>
      </c>
      <c r="J22" s="507">
        <v>59</v>
      </c>
      <c r="K22" s="514">
        <v>57</v>
      </c>
      <c r="L22" s="514">
        <v>55</v>
      </c>
      <c r="M22" s="514">
        <v>49</v>
      </c>
      <c r="N22" s="515">
        <v>47</v>
      </c>
      <c r="O22" s="515">
        <v>45</v>
      </c>
      <c r="P22" s="515">
        <v>43</v>
      </c>
      <c r="Q22" s="515">
        <v>40</v>
      </c>
      <c r="R22" s="515">
        <v>38</v>
      </c>
      <c r="S22" s="515">
        <v>36</v>
      </c>
      <c r="T22" s="515">
        <v>34</v>
      </c>
    </row>
    <row r="23" spans="1:20" ht="15" customHeight="1" x14ac:dyDescent="0.2">
      <c r="A23" s="512" t="s">
        <v>85</v>
      </c>
      <c r="B23" s="512" t="s">
        <v>984</v>
      </c>
      <c r="C23" s="513">
        <f t="shared" ref="C23:T23" si="7">C22*0.68</f>
        <v>61.2</v>
      </c>
      <c r="D23" s="513">
        <f t="shared" si="7"/>
        <v>57.800000000000004</v>
      </c>
      <c r="E23" s="513">
        <f t="shared" si="7"/>
        <v>54.400000000000006</v>
      </c>
      <c r="F23" s="513">
        <f t="shared" si="7"/>
        <v>51.000000000000007</v>
      </c>
      <c r="G23" s="513">
        <f t="shared" si="7"/>
        <v>48.28</v>
      </c>
      <c r="H23" s="513">
        <f t="shared" si="7"/>
        <v>45.56</v>
      </c>
      <c r="I23" s="513">
        <f t="shared" si="7"/>
        <v>42.84</v>
      </c>
      <c r="J23" s="513">
        <f t="shared" si="7"/>
        <v>40.120000000000005</v>
      </c>
      <c r="K23" s="513">
        <f t="shared" si="7"/>
        <v>38.760000000000005</v>
      </c>
      <c r="L23" s="513">
        <f t="shared" si="7"/>
        <v>37.400000000000006</v>
      </c>
      <c r="M23" s="513">
        <f t="shared" si="7"/>
        <v>33.32</v>
      </c>
      <c r="N23" s="513">
        <f t="shared" si="7"/>
        <v>31.96</v>
      </c>
      <c r="O23" s="513">
        <f t="shared" si="7"/>
        <v>30.6</v>
      </c>
      <c r="P23" s="513">
        <f t="shared" si="7"/>
        <v>29.240000000000002</v>
      </c>
      <c r="Q23" s="513">
        <f t="shared" si="7"/>
        <v>27.200000000000003</v>
      </c>
      <c r="R23" s="513">
        <f t="shared" si="7"/>
        <v>25.840000000000003</v>
      </c>
      <c r="S23" s="513">
        <f t="shared" si="7"/>
        <v>24.48</v>
      </c>
      <c r="T23" s="513">
        <f t="shared" si="7"/>
        <v>23.12</v>
      </c>
    </row>
    <row r="24" spans="1:20" ht="15" customHeight="1" x14ac:dyDescent="0.2">
      <c r="A24" s="512"/>
      <c r="B24" s="512" t="s">
        <v>985</v>
      </c>
      <c r="C24" s="513"/>
      <c r="D24" s="513"/>
      <c r="E24" s="513"/>
      <c r="F24" s="513"/>
      <c r="G24" s="513"/>
      <c r="H24" s="513"/>
      <c r="I24" s="513"/>
      <c r="J24" s="513"/>
      <c r="K24" s="513"/>
      <c r="L24" s="513"/>
      <c r="M24" s="513"/>
      <c r="N24" s="513"/>
      <c r="O24" s="513"/>
      <c r="P24" s="513"/>
      <c r="Q24" s="513"/>
      <c r="R24" s="513"/>
      <c r="S24" s="513"/>
      <c r="T24" s="513"/>
    </row>
    <row r="25" spans="1:20" ht="15" customHeight="1" x14ac:dyDescent="0.2">
      <c r="A25" s="512" t="s">
        <v>88</v>
      </c>
      <c r="B25" s="512" t="s">
        <v>986</v>
      </c>
      <c r="C25" s="513">
        <f t="shared" ref="C25:T25" si="8">C22*0.73</f>
        <v>65.7</v>
      </c>
      <c r="D25" s="513">
        <f t="shared" si="8"/>
        <v>62.05</v>
      </c>
      <c r="E25" s="513">
        <f t="shared" si="8"/>
        <v>58.4</v>
      </c>
      <c r="F25" s="513">
        <f t="shared" si="8"/>
        <v>54.75</v>
      </c>
      <c r="G25" s="513">
        <f t="shared" si="8"/>
        <v>51.83</v>
      </c>
      <c r="H25" s="513">
        <f t="shared" si="8"/>
        <v>48.91</v>
      </c>
      <c r="I25" s="513">
        <f t="shared" si="8"/>
        <v>45.99</v>
      </c>
      <c r="J25" s="513">
        <f t="shared" si="8"/>
        <v>43.07</v>
      </c>
      <c r="K25" s="513">
        <f t="shared" si="8"/>
        <v>41.61</v>
      </c>
      <c r="L25" s="513">
        <f t="shared" si="8"/>
        <v>40.15</v>
      </c>
      <c r="M25" s="513">
        <f t="shared" si="8"/>
        <v>35.769999999999996</v>
      </c>
      <c r="N25" s="513">
        <f t="shared" si="8"/>
        <v>34.31</v>
      </c>
      <c r="O25" s="513">
        <f t="shared" si="8"/>
        <v>32.85</v>
      </c>
      <c r="P25" s="513">
        <f t="shared" si="8"/>
        <v>31.39</v>
      </c>
      <c r="Q25" s="513">
        <f t="shared" si="8"/>
        <v>29.2</v>
      </c>
      <c r="R25" s="513">
        <f t="shared" si="8"/>
        <v>27.74</v>
      </c>
      <c r="S25" s="513">
        <f t="shared" si="8"/>
        <v>26.28</v>
      </c>
      <c r="T25" s="513">
        <f t="shared" si="8"/>
        <v>24.82</v>
      </c>
    </row>
    <row r="26" spans="1:20" ht="15" customHeight="1" x14ac:dyDescent="0.2">
      <c r="A26" s="512"/>
      <c r="B26" s="512" t="s">
        <v>987</v>
      </c>
      <c r="C26" s="513"/>
      <c r="D26" s="513"/>
      <c r="E26" s="513"/>
      <c r="F26" s="513"/>
      <c r="G26" s="513"/>
      <c r="H26" s="513"/>
      <c r="I26" s="513"/>
      <c r="J26" s="513"/>
      <c r="K26" s="513"/>
      <c r="L26" s="513"/>
      <c r="M26" s="513"/>
      <c r="N26" s="513"/>
      <c r="O26" s="513"/>
      <c r="P26" s="513"/>
      <c r="Q26" s="513"/>
      <c r="R26" s="513"/>
      <c r="S26" s="513"/>
      <c r="T26" s="513"/>
    </row>
    <row r="27" spans="1:20" ht="15" customHeight="1" x14ac:dyDescent="0.2">
      <c r="A27" s="512" t="s">
        <v>91</v>
      </c>
      <c r="B27" s="512" t="s">
        <v>988</v>
      </c>
      <c r="C27" s="513">
        <f t="shared" ref="C27:T27" si="9">C22*0.83</f>
        <v>74.7</v>
      </c>
      <c r="D27" s="513">
        <f t="shared" si="9"/>
        <v>70.55</v>
      </c>
      <c r="E27" s="513">
        <f t="shared" si="9"/>
        <v>66.399999999999991</v>
      </c>
      <c r="F27" s="513">
        <f t="shared" si="9"/>
        <v>62.25</v>
      </c>
      <c r="G27" s="513">
        <f t="shared" si="9"/>
        <v>58.93</v>
      </c>
      <c r="H27" s="513">
        <f t="shared" si="9"/>
        <v>55.61</v>
      </c>
      <c r="I27" s="513">
        <f t="shared" si="9"/>
        <v>52.29</v>
      </c>
      <c r="J27" s="513">
        <f t="shared" si="9"/>
        <v>48.97</v>
      </c>
      <c r="K27" s="513">
        <f t="shared" si="9"/>
        <v>47.309999999999995</v>
      </c>
      <c r="L27" s="513">
        <f t="shared" si="9"/>
        <v>45.65</v>
      </c>
      <c r="M27" s="513">
        <f t="shared" si="9"/>
        <v>40.669999999999995</v>
      </c>
      <c r="N27" s="513">
        <f t="shared" si="9"/>
        <v>39.01</v>
      </c>
      <c r="O27" s="513">
        <f t="shared" si="9"/>
        <v>37.35</v>
      </c>
      <c r="P27" s="513">
        <f t="shared" si="9"/>
        <v>35.69</v>
      </c>
      <c r="Q27" s="513">
        <f t="shared" si="9"/>
        <v>33.199999999999996</v>
      </c>
      <c r="R27" s="513">
        <f t="shared" si="9"/>
        <v>31.54</v>
      </c>
      <c r="S27" s="513">
        <f t="shared" si="9"/>
        <v>29.88</v>
      </c>
      <c r="T27" s="513">
        <f t="shared" si="9"/>
        <v>28.22</v>
      </c>
    </row>
    <row r="28" spans="1:20" ht="15" customHeight="1" x14ac:dyDescent="0.2">
      <c r="A28" s="512"/>
      <c r="B28" s="512" t="s">
        <v>989</v>
      </c>
      <c r="C28" s="516"/>
      <c r="D28" s="516"/>
      <c r="E28" s="516"/>
      <c r="F28" s="516"/>
      <c r="G28" s="516"/>
      <c r="H28" s="516"/>
      <c r="I28" s="516"/>
      <c r="J28" s="516"/>
      <c r="K28" s="516"/>
      <c r="L28" s="516"/>
      <c r="M28" s="516"/>
      <c r="N28" s="516"/>
      <c r="O28" s="516"/>
      <c r="P28" s="516"/>
      <c r="Q28" s="516"/>
      <c r="R28" s="516"/>
      <c r="S28" s="516"/>
      <c r="T28" s="516"/>
    </row>
    <row r="29" spans="1:20" ht="15" customHeight="1" x14ac:dyDescent="0.2">
      <c r="A29" s="512" t="s">
        <v>139</v>
      </c>
      <c r="B29" s="512" t="s">
        <v>990</v>
      </c>
      <c r="C29" s="516">
        <f t="shared" ref="C29:T29" si="10">C22/45</f>
        <v>2</v>
      </c>
      <c r="D29" s="516">
        <f t="shared" si="10"/>
        <v>1.8888888888888888</v>
      </c>
      <c r="E29" s="516">
        <f t="shared" si="10"/>
        <v>1.7777777777777777</v>
      </c>
      <c r="F29" s="516">
        <f t="shared" si="10"/>
        <v>1.6666666666666667</v>
      </c>
      <c r="G29" s="516">
        <f t="shared" si="10"/>
        <v>1.5777777777777777</v>
      </c>
      <c r="H29" s="516">
        <f t="shared" si="10"/>
        <v>1.4888888888888889</v>
      </c>
      <c r="I29" s="516">
        <f t="shared" si="10"/>
        <v>1.4</v>
      </c>
      <c r="J29" s="516">
        <f t="shared" si="10"/>
        <v>1.3111111111111111</v>
      </c>
      <c r="K29" s="516">
        <f t="shared" si="10"/>
        <v>1.2666666666666666</v>
      </c>
      <c r="L29" s="516">
        <f t="shared" si="10"/>
        <v>1.2222222222222223</v>
      </c>
      <c r="M29" s="516">
        <f t="shared" si="10"/>
        <v>1.0888888888888888</v>
      </c>
      <c r="N29" s="516">
        <f t="shared" si="10"/>
        <v>1.0444444444444445</v>
      </c>
      <c r="O29" s="516">
        <f t="shared" si="10"/>
        <v>1</v>
      </c>
      <c r="P29" s="516">
        <f t="shared" si="10"/>
        <v>0.9555555555555556</v>
      </c>
      <c r="Q29" s="516">
        <f t="shared" si="10"/>
        <v>0.88888888888888884</v>
      </c>
      <c r="R29" s="516">
        <f t="shared" si="10"/>
        <v>0.84444444444444444</v>
      </c>
      <c r="S29" s="516">
        <f t="shared" si="10"/>
        <v>0.8</v>
      </c>
      <c r="T29" s="516">
        <f t="shared" si="10"/>
        <v>0.75555555555555554</v>
      </c>
    </row>
    <row r="30" spans="1:20" ht="15" customHeight="1" x14ac:dyDescent="0.2">
      <c r="A30" s="512" t="s">
        <v>142</v>
      </c>
      <c r="B30" s="512" t="s">
        <v>991</v>
      </c>
      <c r="C30" s="516">
        <f t="shared" ref="C30:T30" si="11">C22/50</f>
        <v>1.8</v>
      </c>
      <c r="D30" s="516">
        <f t="shared" si="11"/>
        <v>1.7</v>
      </c>
      <c r="E30" s="516">
        <f t="shared" si="11"/>
        <v>1.6</v>
      </c>
      <c r="F30" s="516">
        <f t="shared" si="11"/>
        <v>1.5</v>
      </c>
      <c r="G30" s="516">
        <f t="shared" si="11"/>
        <v>1.42</v>
      </c>
      <c r="H30" s="516">
        <f t="shared" si="11"/>
        <v>1.34</v>
      </c>
      <c r="I30" s="516">
        <f t="shared" si="11"/>
        <v>1.26</v>
      </c>
      <c r="J30" s="516">
        <f t="shared" si="11"/>
        <v>1.18</v>
      </c>
      <c r="K30" s="516">
        <f t="shared" si="11"/>
        <v>1.1399999999999999</v>
      </c>
      <c r="L30" s="516">
        <f t="shared" si="11"/>
        <v>1.1000000000000001</v>
      </c>
      <c r="M30" s="516">
        <f t="shared" si="11"/>
        <v>0.98</v>
      </c>
      <c r="N30" s="516">
        <f t="shared" si="11"/>
        <v>0.94</v>
      </c>
      <c r="O30" s="516">
        <f t="shared" si="11"/>
        <v>0.9</v>
      </c>
      <c r="P30" s="516">
        <f t="shared" si="11"/>
        <v>0.86</v>
      </c>
      <c r="Q30" s="516">
        <f t="shared" si="11"/>
        <v>0.8</v>
      </c>
      <c r="R30" s="516">
        <f t="shared" si="11"/>
        <v>0.76</v>
      </c>
      <c r="S30" s="516">
        <f t="shared" si="11"/>
        <v>0.72</v>
      </c>
      <c r="T30" s="516">
        <f t="shared" si="11"/>
        <v>0.68</v>
      </c>
    </row>
    <row r="31" spans="1:20" ht="15" customHeight="1" x14ac:dyDescent="0.2">
      <c r="A31" s="512" t="s">
        <v>144</v>
      </c>
      <c r="B31" s="512" t="s">
        <v>992</v>
      </c>
      <c r="C31" s="516">
        <f t="shared" ref="C31:T31" si="12">C22/55</f>
        <v>1.6363636363636365</v>
      </c>
      <c r="D31" s="516">
        <f t="shared" si="12"/>
        <v>1.5454545454545454</v>
      </c>
      <c r="E31" s="516">
        <f t="shared" si="12"/>
        <v>1.4545454545454546</v>
      </c>
      <c r="F31" s="516">
        <f t="shared" si="12"/>
        <v>1.3636363636363635</v>
      </c>
      <c r="G31" s="516">
        <f t="shared" si="12"/>
        <v>1.290909090909091</v>
      </c>
      <c r="H31" s="516">
        <f t="shared" si="12"/>
        <v>1.2181818181818183</v>
      </c>
      <c r="I31" s="516">
        <f t="shared" si="12"/>
        <v>1.1454545454545455</v>
      </c>
      <c r="J31" s="516">
        <f t="shared" si="12"/>
        <v>1.0727272727272728</v>
      </c>
      <c r="K31" s="516">
        <f t="shared" si="12"/>
        <v>1.0363636363636364</v>
      </c>
      <c r="L31" s="516">
        <f t="shared" si="12"/>
        <v>1</v>
      </c>
      <c r="M31" s="516">
        <f t="shared" si="12"/>
        <v>0.89090909090909087</v>
      </c>
      <c r="N31" s="516">
        <f t="shared" si="12"/>
        <v>0.8545454545454545</v>
      </c>
      <c r="O31" s="516">
        <f t="shared" si="12"/>
        <v>0.81818181818181823</v>
      </c>
      <c r="P31" s="516">
        <f t="shared" si="12"/>
        <v>0.78181818181818186</v>
      </c>
      <c r="Q31" s="516">
        <f t="shared" si="12"/>
        <v>0.72727272727272729</v>
      </c>
      <c r="R31" s="516">
        <f t="shared" si="12"/>
        <v>0.69090909090909092</v>
      </c>
      <c r="S31" s="516">
        <f t="shared" si="12"/>
        <v>0.65454545454545454</v>
      </c>
      <c r="T31" s="516">
        <f t="shared" si="12"/>
        <v>0.61818181818181817</v>
      </c>
    </row>
    <row r="32" spans="1:20" ht="15" customHeight="1" x14ac:dyDescent="0.2">
      <c r="A32" s="512" t="s">
        <v>146</v>
      </c>
      <c r="B32" s="512" t="s">
        <v>993</v>
      </c>
      <c r="C32" s="516">
        <f t="shared" ref="C32:T32" si="13">C22/60</f>
        <v>1.5</v>
      </c>
      <c r="D32" s="516">
        <f t="shared" si="13"/>
        <v>1.4166666666666667</v>
      </c>
      <c r="E32" s="516">
        <f t="shared" si="13"/>
        <v>1.3333333333333333</v>
      </c>
      <c r="F32" s="516">
        <f t="shared" si="13"/>
        <v>1.25</v>
      </c>
      <c r="G32" s="516">
        <f t="shared" si="13"/>
        <v>1.1833333333333333</v>
      </c>
      <c r="H32" s="516">
        <f t="shared" si="13"/>
        <v>1.1166666666666667</v>
      </c>
      <c r="I32" s="516">
        <f t="shared" si="13"/>
        <v>1.05</v>
      </c>
      <c r="J32" s="516">
        <f t="shared" si="13"/>
        <v>0.98333333333333328</v>
      </c>
      <c r="K32" s="516">
        <f t="shared" si="13"/>
        <v>0.95</v>
      </c>
      <c r="L32" s="516">
        <f t="shared" si="13"/>
        <v>0.91666666666666663</v>
      </c>
      <c r="M32" s="516">
        <f t="shared" si="13"/>
        <v>0.81666666666666665</v>
      </c>
      <c r="N32" s="516">
        <f t="shared" si="13"/>
        <v>0.78333333333333333</v>
      </c>
      <c r="O32" s="516">
        <f t="shared" si="13"/>
        <v>0.75</v>
      </c>
      <c r="P32" s="516">
        <f t="shared" si="13"/>
        <v>0.71666666666666667</v>
      </c>
      <c r="Q32" s="516">
        <f t="shared" si="13"/>
        <v>0.66666666666666663</v>
      </c>
      <c r="R32" s="516">
        <f t="shared" si="13"/>
        <v>0.6333333333333333</v>
      </c>
      <c r="S32" s="516">
        <f t="shared" si="13"/>
        <v>0.6</v>
      </c>
      <c r="T32" s="516">
        <f t="shared" si="13"/>
        <v>0.56666666666666665</v>
      </c>
    </row>
    <row r="33" spans="1:20" ht="15" customHeight="1" x14ac:dyDescent="0.2">
      <c r="C33" s="513"/>
      <c r="D33" s="513"/>
      <c r="E33" s="513"/>
      <c r="F33" s="507"/>
      <c r="G33" s="507"/>
      <c r="H33" s="507"/>
      <c r="I33" s="507"/>
      <c r="J33" s="507"/>
      <c r="K33" s="514"/>
      <c r="L33" s="514"/>
      <c r="M33" s="514"/>
      <c r="N33" s="515"/>
      <c r="O33" s="515"/>
      <c r="P33" s="515"/>
      <c r="Q33" s="515"/>
      <c r="R33" s="515"/>
      <c r="S33" s="515"/>
      <c r="T33" s="515"/>
    </row>
    <row r="34" spans="1:20" ht="15" customHeight="1" x14ac:dyDescent="0.2">
      <c r="A34" s="494"/>
      <c r="B34" s="494" t="s">
        <v>234</v>
      </c>
      <c r="C34" s="496">
        <f>13552/(2*C40)</f>
        <v>92.29571593560361</v>
      </c>
      <c r="D34" s="496">
        <f>13552/(2*D40)</f>
        <v>87.115555442182682</v>
      </c>
      <c r="E34" s="496">
        <f>13552/(2*E40)</f>
        <v>82.226135016874139</v>
      </c>
      <c r="F34" s="497">
        <f>13552/(2*F40)</f>
        <v>77.6111366735242</v>
      </c>
      <c r="G34" s="497">
        <f>13552/(2*G40)</f>
        <v>73.255158284167663</v>
      </c>
      <c r="H34" s="497">
        <f t="shared" ref="H34:O34" si="14">13552/(2*H40)</f>
        <v>69.143662175857386</v>
      </c>
      <c r="I34" s="497">
        <f t="shared" si="14"/>
        <v>65.262926612532596</v>
      </c>
      <c r="J34" s="497">
        <f t="shared" si="14"/>
        <v>61.600000000000016</v>
      </c>
      <c r="K34" s="498">
        <f t="shared" si="14"/>
        <v>58.142657661192338</v>
      </c>
      <c r="L34" s="498">
        <f t="shared" si="14"/>
        <v>54.879361037444909</v>
      </c>
      <c r="M34" s="498">
        <f t="shared" si="14"/>
        <v>51.799219179628828</v>
      </c>
      <c r="N34" s="499">
        <f t="shared" si="14"/>
        <v>48.891952400620546</v>
      </c>
      <c r="O34" s="499">
        <f t="shared" si="14"/>
        <v>46.147857967801805</v>
      </c>
      <c r="P34" s="499">
        <f>13552/(2*P40)</f>
        <v>43.557777721091341</v>
      </c>
      <c r="Q34" s="499">
        <f>13552/(2*Q40)</f>
        <v>41.113067508437069</v>
      </c>
      <c r="R34" s="499">
        <f>13552/(2*R40)</f>
        <v>38.8055683367621</v>
      </c>
      <c r="S34" s="499">
        <f>13552/(2*S40)</f>
        <v>36.627579142083817</v>
      </c>
      <c r="T34" s="499">
        <f>13552/(2*T40)</f>
        <v>34.571831087928693</v>
      </c>
    </row>
    <row r="35" spans="1:20" ht="15" customHeight="1" x14ac:dyDescent="0.2">
      <c r="A35" s="500"/>
      <c r="B35" s="500" t="s">
        <v>151</v>
      </c>
      <c r="C35" s="502">
        <f>C13/3</f>
        <v>0.5</v>
      </c>
      <c r="D35" s="502">
        <f>D13/3</f>
        <v>0.5</v>
      </c>
      <c r="E35" s="502">
        <f>E13/3</f>
        <v>0.5</v>
      </c>
      <c r="F35" s="503">
        <f>F13/3</f>
        <v>0.41666666666666669</v>
      </c>
      <c r="G35" s="503">
        <f>G13/3</f>
        <v>0.41666666666666669</v>
      </c>
      <c r="H35" s="503">
        <f t="shared" ref="H35:O35" si="15">H13/3</f>
        <v>0.41666666666666669</v>
      </c>
      <c r="I35" s="503">
        <f t="shared" si="15"/>
        <v>0.41666666666666669</v>
      </c>
      <c r="J35" s="503">
        <f t="shared" si="15"/>
        <v>0.375</v>
      </c>
      <c r="K35" s="504">
        <f t="shared" si="15"/>
        <v>0.375</v>
      </c>
      <c r="L35" s="504">
        <f t="shared" si="15"/>
        <v>0.375</v>
      </c>
      <c r="M35" s="504">
        <f t="shared" si="15"/>
        <v>0.375</v>
      </c>
      <c r="N35" s="505">
        <f t="shared" si="15"/>
        <v>0.33333333333333331</v>
      </c>
      <c r="O35" s="505">
        <f t="shared" si="15"/>
        <v>0.33333333333333331</v>
      </c>
      <c r="P35" s="505">
        <f>P13/3</f>
        <v>0.29166666666666669</v>
      </c>
      <c r="Q35" s="505">
        <f>Q13/3</f>
        <v>0.29166666666666669</v>
      </c>
      <c r="R35" s="505">
        <f>R13/3</f>
        <v>0.25</v>
      </c>
      <c r="S35" s="505">
        <f>S13/3</f>
        <v>0.25</v>
      </c>
      <c r="T35" s="505">
        <f>T13/3</f>
        <v>0.25</v>
      </c>
    </row>
    <row r="36" spans="1:20" ht="15" customHeight="1" x14ac:dyDescent="0.2">
      <c r="A36" s="500"/>
      <c r="B36" s="500" t="s">
        <v>235</v>
      </c>
      <c r="C36" s="502">
        <f>C34-(C9+C35)</f>
        <v>26.75</v>
      </c>
      <c r="D36" s="502">
        <f>D34-(D9+D35)</f>
        <v>26.75</v>
      </c>
      <c r="E36" s="502">
        <f>E34-(E9+E35)</f>
        <v>26.75</v>
      </c>
      <c r="F36" s="503">
        <f>F34-(F9+F35)</f>
        <v>22.833333333333336</v>
      </c>
      <c r="G36" s="503">
        <f>G34-(G9+G35)</f>
        <v>22.833333333333336</v>
      </c>
      <c r="H36" s="497">
        <f t="shared" ref="H36:O36" si="16">H34-(H9+H35)</f>
        <v>39.022995509190721</v>
      </c>
      <c r="I36" s="497">
        <f t="shared" si="16"/>
        <v>37.087259945865924</v>
      </c>
      <c r="J36" s="497">
        <f t="shared" si="16"/>
        <v>35.344000000000015</v>
      </c>
      <c r="K36" s="498">
        <f t="shared" si="16"/>
        <v>33.62065766119234</v>
      </c>
      <c r="L36" s="498">
        <f t="shared" si="16"/>
        <v>30.594361037444909</v>
      </c>
      <c r="M36" s="498">
        <f t="shared" si="16"/>
        <v>29.060219179628827</v>
      </c>
      <c r="N36" s="499">
        <f t="shared" si="16"/>
        <v>27.186619067287214</v>
      </c>
      <c r="O36" s="499">
        <f t="shared" si="16"/>
        <v>25.818524634468474</v>
      </c>
      <c r="P36" s="505">
        <f>P34-(P9+P35)</f>
        <v>14.958333333333332</v>
      </c>
      <c r="Q36" s="505">
        <f>Q34-(Q9+Q35)</f>
        <v>14.958333333333332</v>
      </c>
      <c r="R36" s="505">
        <f>R34-(R9+R35)</f>
        <v>13</v>
      </c>
      <c r="S36" s="505">
        <f>S34-(S9+S35)</f>
        <v>13</v>
      </c>
      <c r="T36" s="505">
        <f>T34-(T9+T35)</f>
        <v>13</v>
      </c>
    </row>
    <row r="37" spans="1:20" ht="15" customHeight="1" x14ac:dyDescent="0.2">
      <c r="A37" s="500"/>
      <c r="B37" s="500" t="s">
        <v>236</v>
      </c>
      <c r="C37" s="488">
        <v>4.4800000000000004</v>
      </c>
      <c r="D37" s="488">
        <v>4.4800000000000004</v>
      </c>
      <c r="E37" s="488">
        <v>4.4800000000000004</v>
      </c>
      <c r="F37" s="490">
        <v>4.4800000000000004</v>
      </c>
      <c r="G37" s="490">
        <v>4.4800000000000004</v>
      </c>
      <c r="H37" s="490">
        <v>4.4800000000000004</v>
      </c>
      <c r="I37" s="490">
        <v>4.4800000000000004</v>
      </c>
      <c r="J37" s="490">
        <v>4.5599999999999996</v>
      </c>
      <c r="K37" s="491">
        <v>4.5599999999999996</v>
      </c>
      <c r="L37" s="491">
        <v>3.19</v>
      </c>
      <c r="M37" s="491">
        <v>3.19</v>
      </c>
      <c r="N37" s="492">
        <v>2.76</v>
      </c>
      <c r="O37" s="492">
        <v>2.76</v>
      </c>
      <c r="P37" s="492">
        <v>2.76</v>
      </c>
      <c r="Q37" s="492">
        <v>2.76</v>
      </c>
      <c r="R37" s="492">
        <v>2.76</v>
      </c>
      <c r="S37" s="492">
        <v>2.76</v>
      </c>
      <c r="T37" s="492">
        <v>2.76</v>
      </c>
    </row>
    <row r="38" spans="1:20" ht="15" customHeight="1" x14ac:dyDescent="0.2">
      <c r="A38" s="508"/>
      <c r="B38" s="517" t="s">
        <v>994</v>
      </c>
      <c r="C38" s="508" t="s">
        <v>995</v>
      </c>
      <c r="D38" s="508" t="s">
        <v>995</v>
      </c>
      <c r="E38" s="508" t="s">
        <v>995</v>
      </c>
      <c r="F38" s="508" t="s">
        <v>995</v>
      </c>
      <c r="G38" s="508" t="s">
        <v>995</v>
      </c>
      <c r="H38" s="508"/>
      <c r="I38" s="508"/>
      <c r="J38" s="508"/>
      <c r="K38" s="508"/>
      <c r="L38" s="508"/>
      <c r="M38" s="508"/>
      <c r="N38" s="508"/>
      <c r="O38" s="508"/>
      <c r="P38" s="508" t="s">
        <v>995</v>
      </c>
      <c r="Q38" s="508" t="s">
        <v>995</v>
      </c>
      <c r="R38" s="508" t="s">
        <v>995</v>
      </c>
      <c r="S38" s="508" t="s">
        <v>995</v>
      </c>
      <c r="T38" s="508" t="s">
        <v>995</v>
      </c>
    </row>
    <row r="39" spans="1:20" ht="15" customHeight="1" x14ac:dyDescent="0.2">
      <c r="A39" s="518"/>
      <c r="B39" s="508" t="s">
        <v>239</v>
      </c>
      <c r="C39" s="489" t="s">
        <v>975</v>
      </c>
      <c r="D39" s="489" t="s">
        <v>976</v>
      </c>
      <c r="E39" s="489" t="s">
        <v>977</v>
      </c>
      <c r="F39" s="489" t="s">
        <v>978</v>
      </c>
      <c r="G39" s="489" t="s">
        <v>979</v>
      </c>
      <c r="H39" s="489" t="s">
        <v>980</v>
      </c>
      <c r="I39" s="489" t="s">
        <v>981</v>
      </c>
      <c r="J39" s="489" t="s">
        <v>753</v>
      </c>
      <c r="K39" s="489" t="s">
        <v>760</v>
      </c>
      <c r="L39" s="489" t="s">
        <v>759</v>
      </c>
      <c r="M39" s="489" t="s">
        <v>763</v>
      </c>
      <c r="N39" s="489" t="s">
        <v>782</v>
      </c>
      <c r="O39" s="489" t="s">
        <v>773</v>
      </c>
      <c r="P39" s="489" t="s">
        <v>787</v>
      </c>
      <c r="Q39" s="489" t="s">
        <v>784</v>
      </c>
      <c r="R39" s="489" t="s">
        <v>792</v>
      </c>
      <c r="S39" s="489" t="s">
        <v>982</v>
      </c>
      <c r="T39" s="489" t="s">
        <v>205</v>
      </c>
    </row>
    <row r="40" spans="1:20" ht="15" customHeight="1" x14ac:dyDescent="0.2">
      <c r="A40" s="519"/>
      <c r="B40" s="520" t="s">
        <v>241</v>
      </c>
      <c r="C40" s="521">
        <f t="shared" ref="C40:T40" si="17">((2^(1/12))^(C2-49))*440</f>
        <v>73.416191979351865</v>
      </c>
      <c r="D40" s="521">
        <f t="shared" si="17"/>
        <v>77.781745930520202</v>
      </c>
      <c r="E40" s="521">
        <f t="shared" si="17"/>
        <v>82.406889228217466</v>
      </c>
      <c r="F40" s="521">
        <f t="shared" si="17"/>
        <v>87.307057858250957</v>
      </c>
      <c r="G40" s="521">
        <f t="shared" si="17"/>
        <v>92.498605677908543</v>
      </c>
      <c r="H40" s="521">
        <f t="shared" si="17"/>
        <v>97.998858995437303</v>
      </c>
      <c r="I40" s="521">
        <f t="shared" si="17"/>
        <v>103.82617439498627</v>
      </c>
      <c r="J40" s="521">
        <f t="shared" si="17"/>
        <v>109.99999999999997</v>
      </c>
      <c r="K40" s="521">
        <f t="shared" si="17"/>
        <v>116.54094037952244</v>
      </c>
      <c r="L40" s="521">
        <f t="shared" si="17"/>
        <v>123.470825314031</v>
      </c>
      <c r="M40" s="521">
        <f t="shared" si="17"/>
        <v>130.81278265029928</v>
      </c>
      <c r="N40" s="521">
        <f t="shared" si="17"/>
        <v>138.59131548843604</v>
      </c>
      <c r="O40" s="521">
        <f t="shared" si="17"/>
        <v>146.83238395870373</v>
      </c>
      <c r="P40" s="521">
        <f t="shared" si="17"/>
        <v>155.5634918610404</v>
      </c>
      <c r="Q40" s="521">
        <f t="shared" si="17"/>
        <v>164.81377845643493</v>
      </c>
      <c r="R40" s="521">
        <f t="shared" si="17"/>
        <v>174.61411571650191</v>
      </c>
      <c r="S40" s="521">
        <f t="shared" si="17"/>
        <v>184.99721135581717</v>
      </c>
      <c r="T40" s="521">
        <f t="shared" si="17"/>
        <v>195.99771799087461</v>
      </c>
    </row>
    <row r="41" spans="1:20" ht="15" customHeight="1" x14ac:dyDescent="0.2">
      <c r="A41" s="522"/>
      <c r="B41" s="508" t="s">
        <v>242</v>
      </c>
      <c r="C41" s="489" t="s">
        <v>996</v>
      </c>
      <c r="D41" s="489" t="s">
        <v>999</v>
      </c>
      <c r="E41" s="489" t="s">
        <v>997</v>
      </c>
      <c r="F41" s="489" t="s">
        <v>1000</v>
      </c>
      <c r="G41" s="489" t="s">
        <v>998</v>
      </c>
      <c r="H41" s="489" t="s">
        <v>243</v>
      </c>
      <c r="I41" s="489" t="s">
        <v>5</v>
      </c>
      <c r="J41" s="489" t="s">
        <v>244</v>
      </c>
      <c r="K41" s="489" t="s">
        <v>245</v>
      </c>
      <c r="L41" s="489" t="s">
        <v>24</v>
      </c>
      <c r="M41" s="489" t="s">
        <v>9</v>
      </c>
      <c r="N41" s="489" t="s">
        <v>25</v>
      </c>
      <c r="O41" s="489" t="s">
        <v>11</v>
      </c>
      <c r="P41" s="489" t="s">
        <v>1005</v>
      </c>
      <c r="Q41" s="489" t="s">
        <v>1007</v>
      </c>
      <c r="R41" s="489" t="s">
        <v>1006</v>
      </c>
      <c r="S41" s="489" t="s">
        <v>500</v>
      </c>
      <c r="T41" s="489" t="s">
        <v>243</v>
      </c>
    </row>
    <row r="42" spans="1:20" ht="15" customHeight="1" x14ac:dyDescent="0.35">
      <c r="A42" s="523"/>
      <c r="B42" s="520" t="s">
        <v>250</v>
      </c>
      <c r="C42" s="524">
        <f>((2^(1/12))^(C2+3-49))*440</f>
        <v>87.307057858250957</v>
      </c>
      <c r="D42" s="524">
        <f>((2^(1/12))^(D2+3-49))*440</f>
        <v>92.498605677908543</v>
      </c>
      <c r="E42" s="524">
        <f>((2^(1/12))^(E2+3-49))*440</f>
        <v>97.998858995437303</v>
      </c>
      <c r="F42" s="524">
        <f>((2^(1/12))^(F2+3-49))*440</f>
        <v>103.82617439498627</v>
      </c>
      <c r="G42" s="524">
        <f>((2^(1/12))^(G2+3-49))*440</f>
        <v>109.99999999999997</v>
      </c>
      <c r="H42" s="524">
        <f t="shared" ref="H42:O42" si="18">((2^(1/12))^(H2+3-49))*440</f>
        <v>116.54094037952244</v>
      </c>
      <c r="I42" s="524">
        <f t="shared" si="18"/>
        <v>123.470825314031</v>
      </c>
      <c r="J42" s="524">
        <f t="shared" si="18"/>
        <v>130.81278265029928</v>
      </c>
      <c r="K42" s="524">
        <f t="shared" si="18"/>
        <v>138.59131548843604</v>
      </c>
      <c r="L42" s="524">
        <f t="shared" si="18"/>
        <v>146.83238395870373</v>
      </c>
      <c r="M42" s="524">
        <f t="shared" si="18"/>
        <v>155.5634918610404</v>
      </c>
      <c r="N42" s="524">
        <f t="shared" si="18"/>
        <v>164.81377845643493</v>
      </c>
      <c r="O42" s="524">
        <f t="shared" si="18"/>
        <v>174.61411571650191</v>
      </c>
      <c r="P42" s="524">
        <f>((2^(1/12))^(P2+3-49))*440</f>
        <v>184.99721135581717</v>
      </c>
      <c r="Q42" s="524">
        <f>((2^(1/12))^(Q2+3-49))*440</f>
        <v>195.99771799087461</v>
      </c>
      <c r="R42" s="524">
        <f>((2^(1/12))^(R2+3-49))*440</f>
        <v>207.65234878997256</v>
      </c>
      <c r="S42" s="524">
        <f>((2^(1/12))^(S2+3-49))*440</f>
        <v>220</v>
      </c>
      <c r="T42" s="524">
        <f>((2^(1/12))^(T2+3-49))*440</f>
        <v>233.08188075904491</v>
      </c>
    </row>
    <row r="43" spans="1:20" ht="15" customHeight="1" x14ac:dyDescent="0.2">
      <c r="A43" s="525" t="s">
        <v>82</v>
      </c>
      <c r="B43" s="526" t="s">
        <v>251</v>
      </c>
      <c r="C43" s="527">
        <v>0.5</v>
      </c>
      <c r="D43" s="527">
        <v>0.5</v>
      </c>
      <c r="E43" s="527">
        <v>0.5</v>
      </c>
      <c r="F43" s="527">
        <v>0.42</v>
      </c>
      <c r="G43" s="527">
        <v>0.42</v>
      </c>
      <c r="H43" s="527">
        <v>0.42</v>
      </c>
      <c r="I43" s="527">
        <v>0.42</v>
      </c>
      <c r="J43" s="527">
        <v>0.42</v>
      </c>
      <c r="K43" s="527">
        <v>0.42</v>
      </c>
      <c r="L43" s="527">
        <v>0.42</v>
      </c>
      <c r="M43" s="527">
        <v>0.42</v>
      </c>
      <c r="N43" s="527">
        <v>0.4</v>
      </c>
      <c r="O43" s="527">
        <v>0.4</v>
      </c>
      <c r="P43" s="527">
        <v>0.38</v>
      </c>
      <c r="Q43" s="527">
        <v>0.38</v>
      </c>
      <c r="R43" s="527">
        <v>0.35</v>
      </c>
      <c r="S43" s="527">
        <v>0.35</v>
      </c>
      <c r="T43" s="527">
        <v>0.35</v>
      </c>
    </row>
    <row r="44" spans="1:20" ht="15" customHeight="1" x14ac:dyDescent="0.2">
      <c r="A44" s="525" t="s">
        <v>85</v>
      </c>
      <c r="B44" s="526" t="s">
        <v>252</v>
      </c>
      <c r="C44" s="527">
        <v>12.465</v>
      </c>
      <c r="D44" s="527">
        <v>11.882</v>
      </c>
      <c r="E44" s="527">
        <v>11.298</v>
      </c>
      <c r="F44" s="527">
        <v>10.714</v>
      </c>
      <c r="G44" s="527">
        <v>10.131</v>
      </c>
      <c r="H44" s="527">
        <v>9.6880000000000006</v>
      </c>
      <c r="I44" s="527">
        <v>9.3119999999999994</v>
      </c>
      <c r="J44" s="527">
        <v>8.0269999999999992</v>
      </c>
      <c r="K44" s="527">
        <v>7.7069999999999999</v>
      </c>
      <c r="L44" s="527">
        <v>6.8920000000000003</v>
      </c>
      <c r="M44" s="527">
        <v>6.61</v>
      </c>
      <c r="N44" s="527">
        <v>6.0140000000000002</v>
      </c>
      <c r="O44" s="527">
        <v>5.7640000000000002</v>
      </c>
      <c r="P44" s="527">
        <v>4.8780000000000001</v>
      </c>
      <c r="Q44" s="527">
        <v>4.2939999999999996</v>
      </c>
      <c r="R44" s="527">
        <v>3.7109999999999999</v>
      </c>
      <c r="S44" s="527">
        <v>3.1269999999999998</v>
      </c>
      <c r="T44" s="527">
        <v>2.544</v>
      </c>
    </row>
    <row r="45" spans="1:20" ht="15" customHeight="1" x14ac:dyDescent="0.2">
      <c r="A45" s="528"/>
      <c r="B45" s="508" t="s">
        <v>253</v>
      </c>
      <c r="C45" s="489" t="s">
        <v>997</v>
      </c>
      <c r="D45" s="489" t="s">
        <v>1000</v>
      </c>
      <c r="E45" s="489" t="s">
        <v>998</v>
      </c>
      <c r="F45" s="489" t="s">
        <v>1001</v>
      </c>
      <c r="G45" s="489" t="s">
        <v>1002</v>
      </c>
      <c r="H45" s="489" t="s">
        <v>244</v>
      </c>
      <c r="I45" s="489" t="s">
        <v>245</v>
      </c>
      <c r="J45" s="489" t="s">
        <v>24</v>
      </c>
      <c r="K45" s="489" t="s">
        <v>254</v>
      </c>
      <c r="L45" s="489" t="s">
        <v>25</v>
      </c>
      <c r="M45" s="489" t="s">
        <v>11</v>
      </c>
      <c r="N45" s="489" t="s">
        <v>26</v>
      </c>
      <c r="O45" s="489" t="s">
        <v>27</v>
      </c>
      <c r="P45" s="489" t="s">
        <v>1006</v>
      </c>
      <c r="Q45" s="489" t="s">
        <v>500</v>
      </c>
      <c r="R45" s="489" t="s">
        <v>243</v>
      </c>
      <c r="S45" s="489" t="s">
        <v>5</v>
      </c>
      <c r="T45" s="489" t="s">
        <v>244</v>
      </c>
    </row>
    <row r="46" spans="1:20" ht="15" customHeight="1" x14ac:dyDescent="0.35">
      <c r="A46" s="529"/>
      <c r="B46" s="520" t="s">
        <v>250</v>
      </c>
      <c r="C46" s="524">
        <f>((2^(1/12))^(C2+5-49))*440</f>
        <v>97.998858995437303</v>
      </c>
      <c r="D46" s="524">
        <f>((2^(1/12))^(D2+5-49))*440</f>
        <v>103.82617439498627</v>
      </c>
      <c r="E46" s="524">
        <f>((2^(1/12))^(E2+5-49))*440</f>
        <v>109.99999999999997</v>
      </c>
      <c r="F46" s="524">
        <f>((2^(1/12))^(F2+5-49))*440</f>
        <v>116.54094037952244</v>
      </c>
      <c r="G46" s="524">
        <f>((2^(1/12))^(G2+5-49))*440</f>
        <v>123.470825314031</v>
      </c>
      <c r="H46" s="524">
        <f t="shared" ref="H46:O46" si="19">((2^(1/12))^(H2+5-49))*440</f>
        <v>130.81278265029928</v>
      </c>
      <c r="I46" s="524">
        <f t="shared" si="19"/>
        <v>138.59131548843604</v>
      </c>
      <c r="J46" s="524">
        <f t="shared" si="19"/>
        <v>146.83238395870373</v>
      </c>
      <c r="K46" s="524">
        <f t="shared" si="19"/>
        <v>155.5634918610404</v>
      </c>
      <c r="L46" s="524">
        <f t="shared" si="19"/>
        <v>164.81377845643493</v>
      </c>
      <c r="M46" s="524">
        <f t="shared" si="19"/>
        <v>174.61411571650191</v>
      </c>
      <c r="N46" s="524">
        <f t="shared" si="19"/>
        <v>184.99721135581717</v>
      </c>
      <c r="O46" s="524">
        <f t="shared" si="19"/>
        <v>195.99771799087461</v>
      </c>
      <c r="P46" s="524">
        <f>((2^(1/12))^(P2+5-49))*440</f>
        <v>207.65234878997256</v>
      </c>
      <c r="Q46" s="524">
        <f>((2^(1/12))^(Q2+5-49))*440</f>
        <v>220</v>
      </c>
      <c r="R46" s="524">
        <f>((2^(1/12))^(R2+5-49))*440</f>
        <v>233.08188075904491</v>
      </c>
      <c r="S46" s="524">
        <f>((2^(1/12))^(S2+5-49))*440</f>
        <v>246.94165062806201</v>
      </c>
      <c r="T46" s="524">
        <f>((2^(1/12))^(T2+5-49))*440</f>
        <v>261.62556530059862</v>
      </c>
    </row>
    <row r="47" spans="1:20" ht="15" customHeight="1" x14ac:dyDescent="0.2">
      <c r="A47" s="530" t="s">
        <v>88</v>
      </c>
      <c r="B47" s="526" t="s">
        <v>251</v>
      </c>
      <c r="C47" s="527">
        <v>0.53</v>
      </c>
      <c r="D47" s="527">
        <v>0.53</v>
      </c>
      <c r="E47" s="527">
        <v>0.53</v>
      </c>
      <c r="F47" s="527">
        <v>0.45</v>
      </c>
      <c r="G47" s="527">
        <v>0.45</v>
      </c>
      <c r="H47" s="527">
        <v>0.45</v>
      </c>
      <c r="I47" s="527">
        <v>0.45</v>
      </c>
      <c r="J47" s="527">
        <v>0.45</v>
      </c>
      <c r="K47" s="527">
        <v>0.45</v>
      </c>
      <c r="L47" s="527">
        <v>0.45</v>
      </c>
      <c r="M47" s="527">
        <v>0.45</v>
      </c>
      <c r="N47" s="527">
        <v>0.43</v>
      </c>
      <c r="O47" s="527">
        <v>0.43</v>
      </c>
      <c r="P47" s="527">
        <v>0.4</v>
      </c>
      <c r="Q47" s="527">
        <v>0.4</v>
      </c>
      <c r="R47" s="527">
        <v>0.38</v>
      </c>
      <c r="S47" s="527">
        <v>0.38</v>
      </c>
      <c r="T47" s="527">
        <v>0.38</v>
      </c>
    </row>
    <row r="48" spans="1:20" ht="15" customHeight="1" x14ac:dyDescent="0.2">
      <c r="A48" s="530" t="s">
        <v>91</v>
      </c>
      <c r="B48" s="526" t="s">
        <v>252</v>
      </c>
      <c r="C48" s="527">
        <v>15.236000000000001</v>
      </c>
      <c r="D48" s="527">
        <v>14.561999999999999</v>
      </c>
      <c r="E48" s="527">
        <v>13.888</v>
      </c>
      <c r="F48" s="527">
        <v>13.214</v>
      </c>
      <c r="G48" s="527">
        <v>12.54</v>
      </c>
      <c r="H48" s="527">
        <v>12.016999999999999</v>
      </c>
      <c r="I48" s="527">
        <v>11.477</v>
      </c>
      <c r="J48" s="527">
        <v>10.220000000000001</v>
      </c>
      <c r="K48" s="527">
        <v>9.7460000000000004</v>
      </c>
      <c r="L48" s="527">
        <v>8.8889999999999993</v>
      </c>
      <c r="M48" s="527">
        <v>8.468</v>
      </c>
      <c r="N48" s="527">
        <v>7.8</v>
      </c>
      <c r="O48" s="527">
        <v>7.4269999999999996</v>
      </c>
      <c r="P48" s="527">
        <v>6.4720000000000004</v>
      </c>
      <c r="Q48" s="527">
        <v>5.798</v>
      </c>
      <c r="R48" s="527">
        <v>5.1239999999999997</v>
      </c>
      <c r="S48" s="527">
        <v>4.45</v>
      </c>
      <c r="T48" s="527">
        <v>3.7759999999999998</v>
      </c>
    </row>
    <row r="49" spans="1:20" ht="15" customHeight="1" x14ac:dyDescent="0.2">
      <c r="A49" s="531"/>
      <c r="B49" s="508" t="s">
        <v>258</v>
      </c>
      <c r="C49" s="489" t="s">
        <v>998</v>
      </c>
      <c r="D49" s="489" t="s">
        <v>1001</v>
      </c>
      <c r="E49" s="489" t="s">
        <v>1002</v>
      </c>
      <c r="F49" s="489" t="s">
        <v>1003</v>
      </c>
      <c r="G49" s="489" t="s">
        <v>1004</v>
      </c>
      <c r="H49" s="489" t="s">
        <v>24</v>
      </c>
      <c r="I49" s="489" t="s">
        <v>254</v>
      </c>
      <c r="J49" s="489" t="s">
        <v>25</v>
      </c>
      <c r="K49" s="489" t="s">
        <v>11</v>
      </c>
      <c r="L49" s="489" t="s">
        <v>12</v>
      </c>
      <c r="M49" s="489" t="s">
        <v>27</v>
      </c>
      <c r="N49" s="489" t="s">
        <v>28</v>
      </c>
      <c r="O49" s="489" t="s">
        <v>29</v>
      </c>
      <c r="P49" s="489" t="s">
        <v>243</v>
      </c>
      <c r="Q49" s="489" t="s">
        <v>5</v>
      </c>
      <c r="R49" s="489" t="s">
        <v>244</v>
      </c>
      <c r="S49" s="489" t="s">
        <v>245</v>
      </c>
      <c r="T49" s="489" t="s">
        <v>24</v>
      </c>
    </row>
    <row r="50" spans="1:20" ht="15" customHeight="1" x14ac:dyDescent="0.35">
      <c r="A50" s="532"/>
      <c r="B50" s="520" t="s">
        <v>250</v>
      </c>
      <c r="C50" s="524">
        <f>((2^(1/12))^(C2+7-49))*440</f>
        <v>109.99999999999997</v>
      </c>
      <c r="D50" s="524">
        <f>((2^(1/12))^(D2+7-49))*440</f>
        <v>116.54094037952244</v>
      </c>
      <c r="E50" s="524">
        <f>((2^(1/12))^(E2+7-49))*440</f>
        <v>123.470825314031</v>
      </c>
      <c r="F50" s="524">
        <f>((2^(1/12))^(F2+7-49))*440</f>
        <v>130.81278265029928</v>
      </c>
      <c r="G50" s="524">
        <f>((2^(1/12))^(G2+7-49))*440</f>
        <v>138.59131548843604</v>
      </c>
      <c r="H50" s="524">
        <f t="shared" ref="H50:O50" si="20">((2^(1/12))^(H2+7-49))*440</f>
        <v>146.83238395870373</v>
      </c>
      <c r="I50" s="524">
        <f t="shared" si="20"/>
        <v>155.5634918610404</v>
      </c>
      <c r="J50" s="524">
        <f t="shared" si="20"/>
        <v>164.81377845643493</v>
      </c>
      <c r="K50" s="524">
        <f t="shared" si="20"/>
        <v>174.61411571650191</v>
      </c>
      <c r="L50" s="524">
        <f t="shared" si="20"/>
        <v>184.99721135581717</v>
      </c>
      <c r="M50" s="524">
        <f t="shared" si="20"/>
        <v>195.99771799087461</v>
      </c>
      <c r="N50" s="524">
        <f t="shared" si="20"/>
        <v>207.65234878997256</v>
      </c>
      <c r="O50" s="524">
        <f t="shared" si="20"/>
        <v>220</v>
      </c>
      <c r="P50" s="524">
        <f>((2^(1/12))^(P2+7-49))*440</f>
        <v>233.08188075904491</v>
      </c>
      <c r="Q50" s="524">
        <f>((2^(1/12))^(Q2+7-49))*440</f>
        <v>246.94165062806201</v>
      </c>
      <c r="R50" s="524">
        <f>((2^(1/12))^(R2+7-49))*440</f>
        <v>261.62556530059862</v>
      </c>
      <c r="S50" s="524">
        <f>((2^(1/12))^(S2+7-49))*440</f>
        <v>277.18263097687208</v>
      </c>
      <c r="T50" s="524">
        <f>((2^(1/12))^(T2+7-49))*440</f>
        <v>293.66476791740752</v>
      </c>
    </row>
    <row r="51" spans="1:20" ht="15" customHeight="1" x14ac:dyDescent="0.2">
      <c r="A51" s="533" t="s">
        <v>139</v>
      </c>
      <c r="B51" s="526" t="s">
        <v>251</v>
      </c>
      <c r="C51" s="527">
        <v>0.56000000000000005</v>
      </c>
      <c r="D51" s="527">
        <v>0.56000000000000005</v>
      </c>
      <c r="E51" s="527">
        <v>0.56000000000000005</v>
      </c>
      <c r="F51" s="527">
        <v>0.5</v>
      </c>
      <c r="G51" s="527">
        <v>0.5</v>
      </c>
      <c r="H51" s="527">
        <v>0.5</v>
      </c>
      <c r="I51" s="527">
        <v>0.5</v>
      </c>
      <c r="J51" s="527">
        <v>0.5</v>
      </c>
      <c r="K51" s="527">
        <v>0.5</v>
      </c>
      <c r="L51" s="527">
        <v>0.5</v>
      </c>
      <c r="M51" s="527">
        <v>0.5</v>
      </c>
      <c r="N51" s="527">
        <v>0.48</v>
      </c>
      <c r="O51" s="527">
        <v>0.48</v>
      </c>
      <c r="P51" s="527">
        <v>0.45</v>
      </c>
      <c r="Q51" s="527">
        <v>0.45</v>
      </c>
      <c r="R51" s="527">
        <v>0.42</v>
      </c>
      <c r="S51" s="527">
        <v>0.42</v>
      </c>
      <c r="T51" s="527">
        <v>0.42</v>
      </c>
    </row>
    <row r="52" spans="1:20" ht="15" customHeight="1" x14ac:dyDescent="0.2">
      <c r="A52" s="533" t="s">
        <v>142</v>
      </c>
      <c r="B52" s="526" t="s">
        <v>252</v>
      </c>
      <c r="C52" s="527">
        <v>18.052</v>
      </c>
      <c r="D52" s="527">
        <v>17.279</v>
      </c>
      <c r="E52" s="527">
        <v>16.506</v>
      </c>
      <c r="F52" s="527">
        <v>15.733000000000001</v>
      </c>
      <c r="G52" s="527">
        <v>14.96</v>
      </c>
      <c r="H52" s="527">
        <v>14.347</v>
      </c>
      <c r="I52" s="527">
        <v>13.657</v>
      </c>
      <c r="J52" s="527">
        <v>12.37</v>
      </c>
      <c r="K52" s="527">
        <v>11.759</v>
      </c>
      <c r="L52" s="527">
        <v>10.826000000000001</v>
      </c>
      <c r="M52" s="527">
        <v>10.284000000000001</v>
      </c>
      <c r="N52" s="527">
        <v>9.5269999999999992</v>
      </c>
      <c r="O52" s="527">
        <v>9.0459999999999994</v>
      </c>
      <c r="P52" s="527">
        <v>8.0009999999999994</v>
      </c>
      <c r="Q52" s="527">
        <v>7.2279999999999998</v>
      </c>
      <c r="R52" s="527">
        <v>6.4539999999999997</v>
      </c>
      <c r="S52" s="527">
        <v>5.681</v>
      </c>
      <c r="T52" s="527">
        <v>4.9080000000000004</v>
      </c>
    </row>
    <row r="53" spans="1:20" ht="15" customHeight="1" x14ac:dyDescent="0.2">
      <c r="A53" s="534"/>
      <c r="B53" s="534"/>
      <c r="C53" s="535"/>
      <c r="D53" s="535"/>
      <c r="E53" s="535"/>
      <c r="F53" s="535"/>
      <c r="G53" s="535"/>
      <c r="H53" s="535"/>
      <c r="I53" s="535"/>
      <c r="J53" s="535"/>
      <c r="K53" s="535"/>
      <c r="L53" s="535"/>
      <c r="M53" s="535"/>
      <c r="N53" s="535"/>
      <c r="O53" s="535"/>
      <c r="P53" s="535"/>
      <c r="Q53" s="535"/>
      <c r="R53" s="535"/>
      <c r="S53" s="535"/>
      <c r="T53" s="535"/>
    </row>
    <row r="56" spans="1:20" ht="15" customHeight="1" x14ac:dyDescent="0.25">
      <c r="A56" s="834" t="s">
        <v>6667</v>
      </c>
    </row>
    <row r="57" spans="1:20" ht="15" customHeight="1" x14ac:dyDescent="0.2">
      <c r="A57" s="835" t="s">
        <v>6668</v>
      </c>
    </row>
    <row r="59" spans="1:20" ht="15" customHeight="1" x14ac:dyDescent="0.2">
      <c r="A59" s="836" t="s">
        <v>6355</v>
      </c>
    </row>
    <row r="60" spans="1:20" ht="15" customHeight="1" x14ac:dyDescent="0.2">
      <c r="A60" s="493" t="s">
        <v>6669</v>
      </c>
    </row>
    <row r="61" spans="1:20" ht="15" customHeight="1" x14ac:dyDescent="0.2">
      <c r="A61" s="837" t="s">
        <v>6670</v>
      </c>
    </row>
    <row r="62" spans="1:20" ht="15" customHeight="1" x14ac:dyDescent="0.2">
      <c r="A62" s="493" t="s">
        <v>6671</v>
      </c>
    </row>
    <row r="64" spans="1:20" ht="15" customHeight="1" x14ac:dyDescent="0.2">
      <c r="A64" s="836" t="s">
        <v>6359</v>
      </c>
    </row>
    <row r="65" spans="1:1" ht="15" customHeight="1" x14ac:dyDescent="0.2">
      <c r="A65" s="493" t="s">
        <v>6672</v>
      </c>
    </row>
    <row r="66" spans="1:1" ht="15" customHeight="1" x14ac:dyDescent="0.2">
      <c r="A66" s="493" t="s">
        <v>6673</v>
      </c>
    </row>
    <row r="67" spans="1:1" ht="15" customHeight="1" x14ac:dyDescent="0.2">
      <c r="A67" s="493" t="s">
        <v>6674</v>
      </c>
    </row>
    <row r="69" spans="1:1" ht="15" customHeight="1" x14ac:dyDescent="0.2">
      <c r="A69" s="836" t="s">
        <v>6654</v>
      </c>
    </row>
    <row r="70" spans="1:1" ht="15" customHeight="1" x14ac:dyDescent="0.2">
      <c r="A70" s="493" t="s">
        <v>6675</v>
      </c>
    </row>
    <row r="71" spans="1:1" ht="15" customHeight="1" x14ac:dyDescent="0.2">
      <c r="A71" s="493" t="s">
        <v>6676</v>
      </c>
    </row>
    <row r="73" spans="1:1" ht="15" customHeight="1" x14ac:dyDescent="0.2">
      <c r="A73" s="836" t="s">
        <v>6658</v>
      </c>
    </row>
    <row r="74" spans="1:1" ht="15" customHeight="1" x14ac:dyDescent="0.2">
      <c r="A74" s="493" t="s">
        <v>6677</v>
      </c>
    </row>
    <row r="75" spans="1:1" ht="15" customHeight="1" x14ac:dyDescent="0.2">
      <c r="A75" s="493" t="s">
        <v>6678</v>
      </c>
    </row>
    <row r="77" spans="1:1" ht="15" customHeight="1" x14ac:dyDescent="0.2">
      <c r="A77" s="836" t="s">
        <v>6661</v>
      </c>
    </row>
    <row r="78" spans="1:1" ht="15" customHeight="1" x14ac:dyDescent="0.2">
      <c r="A78" s="493" t="s">
        <v>6679</v>
      </c>
    </row>
    <row r="79" spans="1:1" ht="15" customHeight="1" x14ac:dyDescent="0.2">
      <c r="A79" s="493" t="s">
        <v>6680</v>
      </c>
    </row>
    <row r="80" spans="1:1" ht="15" customHeight="1" x14ac:dyDescent="0.2">
      <c r="A80" s="493" t="s">
        <v>6681</v>
      </c>
    </row>
    <row r="82" spans="1:1" ht="15" customHeight="1" x14ac:dyDescent="0.2">
      <c r="A82" s="836" t="s">
        <v>6682</v>
      </c>
    </row>
    <row r="83" spans="1:1" ht="15" customHeight="1" x14ac:dyDescent="0.2">
      <c r="A83" s="493" t="s">
        <v>6683</v>
      </c>
    </row>
    <row r="86" spans="1:1" ht="15" customHeight="1" x14ac:dyDescent="0.25">
      <c r="A86" s="840" t="s">
        <v>7215</v>
      </c>
    </row>
    <row r="87" spans="1:1" ht="15" customHeight="1" x14ac:dyDescent="0.2">
      <c r="A87" s="835" t="s">
        <v>7131</v>
      </c>
    </row>
    <row r="89" spans="1:1" ht="15" customHeight="1" x14ac:dyDescent="0.2">
      <c r="A89" s="841" t="s">
        <v>7132</v>
      </c>
    </row>
    <row r="90" spans="1:1" ht="15" customHeight="1" x14ac:dyDescent="0.2">
      <c r="A90" s="493" t="s">
        <v>7216</v>
      </c>
    </row>
    <row r="91" spans="1:1" ht="15" customHeight="1" x14ac:dyDescent="0.2">
      <c r="A91" s="493" t="s">
        <v>7217</v>
      </c>
    </row>
    <row r="92" spans="1:1" ht="15" customHeight="1" x14ac:dyDescent="0.2">
      <c r="A92" s="493" t="s">
        <v>7218</v>
      </c>
    </row>
    <row r="93" spans="1:1" ht="15" customHeight="1" x14ac:dyDescent="0.2">
      <c r="A93" s="493" t="s">
        <v>7219</v>
      </c>
    </row>
  </sheetData>
  <printOptions horizontalCentered="1" gridLines="1"/>
  <pageMargins left="0.7" right="0.7" top="0.75" bottom="0.75" header="0" footer="0"/>
  <pageSetup pageOrder="overThenDown" orientation="portrait" cellComments="atEnd"/>
  <rowBreaks count="2" manualBreakCount="2">
    <brk man="1"/>
    <brk id="52" man="1"/>
  </rowBreaks>
  <colBreaks count="2" manualBreakCount="2">
    <brk id="1" man="1"/>
    <brk id="14"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7D616-5BD3-48F4-884D-545486EEFF1B}">
  <dimension ref="A1:H103"/>
  <sheetViews>
    <sheetView workbookViewId="0">
      <selection activeCell="D97" sqref="D97"/>
    </sheetView>
  </sheetViews>
  <sheetFormatPr defaultRowHeight="12.75" x14ac:dyDescent="0.2"/>
  <cols>
    <col min="1" max="1" width="34.28515625" customWidth="1"/>
    <col min="2" max="2" width="22.85546875" customWidth="1"/>
    <col min="3" max="3" width="11.42578125" bestFit="1" customWidth="1"/>
    <col min="4" max="4" width="13.85546875" bestFit="1" customWidth="1"/>
    <col min="5" max="5" width="14.7109375" bestFit="1" customWidth="1"/>
    <col min="6" max="6" width="13.7109375" bestFit="1" customWidth="1"/>
    <col min="7" max="7" width="14.7109375" bestFit="1" customWidth="1"/>
    <col min="8" max="8" width="26.7109375" customWidth="1"/>
  </cols>
  <sheetData>
    <row r="1" spans="1:7" ht="18" x14ac:dyDescent="0.25">
      <c r="A1" s="470" t="s">
        <v>1008</v>
      </c>
    </row>
    <row r="2" spans="1:7" x14ac:dyDescent="0.2">
      <c r="A2" s="537" t="s">
        <v>1009</v>
      </c>
    </row>
    <row r="4" spans="1:7" ht="15.75" x14ac:dyDescent="0.25">
      <c r="A4" s="538" t="s">
        <v>1010</v>
      </c>
      <c r="B4" s="539"/>
      <c r="C4" s="539"/>
      <c r="D4" s="539"/>
      <c r="E4" s="539"/>
      <c r="F4" s="539"/>
    </row>
    <row r="5" spans="1:7" x14ac:dyDescent="0.2">
      <c r="A5" s="475" t="s">
        <v>785</v>
      </c>
      <c r="B5" s="475" t="s">
        <v>1011</v>
      </c>
      <c r="C5" s="475" t="s">
        <v>1012</v>
      </c>
      <c r="D5" s="475" t="s">
        <v>1013</v>
      </c>
      <c r="E5" s="475" t="s">
        <v>1014</v>
      </c>
      <c r="F5" s="475" t="s">
        <v>1015</v>
      </c>
      <c r="G5" s="475" t="s">
        <v>1066</v>
      </c>
    </row>
    <row r="6" spans="1:7" x14ac:dyDescent="0.2">
      <c r="A6" t="s">
        <v>61</v>
      </c>
      <c r="B6">
        <v>2</v>
      </c>
      <c r="C6">
        <v>45</v>
      </c>
      <c r="D6">
        <v>25</v>
      </c>
      <c r="E6" s="469">
        <f t="shared" ref="E6:E47" si="0">440*2^((C6-69)/12)</f>
        <v>110</v>
      </c>
      <c r="F6" s="540">
        <f t="shared" ref="F6:F47" si="1">(C6-69)*100</f>
        <v>-2400</v>
      </c>
      <c r="G6" t="str">
        <f>A6&amp;B6</f>
        <v>A2</v>
      </c>
    </row>
    <row r="7" spans="1:7" x14ac:dyDescent="0.2">
      <c r="A7" t="s">
        <v>1016</v>
      </c>
      <c r="B7">
        <v>2</v>
      </c>
      <c r="C7">
        <v>46</v>
      </c>
      <c r="D7">
        <v>26</v>
      </c>
      <c r="E7" s="469">
        <f t="shared" si="0"/>
        <v>116.54094037952248</v>
      </c>
      <c r="F7" s="540">
        <f t="shared" si="1"/>
        <v>-2300</v>
      </c>
      <c r="G7" t="str">
        <f t="shared" ref="G7:G47" si="2">A7&amp;B7</f>
        <v>Bb2</v>
      </c>
    </row>
    <row r="8" spans="1:7" x14ac:dyDescent="0.2">
      <c r="A8" t="s">
        <v>70</v>
      </c>
      <c r="B8">
        <v>2</v>
      </c>
      <c r="C8">
        <v>47</v>
      </c>
      <c r="D8">
        <v>27</v>
      </c>
      <c r="E8" s="469">
        <f t="shared" si="0"/>
        <v>123.47082531403106</v>
      </c>
      <c r="F8" s="540">
        <f t="shared" si="1"/>
        <v>-2200</v>
      </c>
      <c r="G8" t="str">
        <f t="shared" si="2"/>
        <v>B2</v>
      </c>
    </row>
    <row r="9" spans="1:7" x14ac:dyDescent="0.2">
      <c r="A9" t="s">
        <v>73</v>
      </c>
      <c r="B9">
        <v>3</v>
      </c>
      <c r="C9">
        <v>48</v>
      </c>
      <c r="D9">
        <v>28</v>
      </c>
      <c r="E9" s="469">
        <f t="shared" si="0"/>
        <v>130.81278265029931</v>
      </c>
      <c r="F9" s="540">
        <f t="shared" si="1"/>
        <v>-2100</v>
      </c>
      <c r="G9" t="str">
        <f t="shared" si="2"/>
        <v>C3</v>
      </c>
    </row>
    <row r="10" spans="1:7" x14ac:dyDescent="0.2">
      <c r="A10" t="s">
        <v>1017</v>
      </c>
      <c r="B10">
        <v>3</v>
      </c>
      <c r="C10">
        <v>49</v>
      </c>
      <c r="D10">
        <v>29</v>
      </c>
      <c r="E10" s="469">
        <f t="shared" si="0"/>
        <v>138.59131548843604</v>
      </c>
      <c r="F10" s="540">
        <f t="shared" si="1"/>
        <v>-2000</v>
      </c>
      <c r="G10" t="str">
        <f t="shared" si="2"/>
        <v>Db3</v>
      </c>
    </row>
    <row r="11" spans="1:7" x14ac:dyDescent="0.2">
      <c r="A11" t="s">
        <v>159</v>
      </c>
      <c r="B11">
        <v>3</v>
      </c>
      <c r="C11">
        <v>50</v>
      </c>
      <c r="D11">
        <v>30</v>
      </c>
      <c r="E11" s="469">
        <f t="shared" si="0"/>
        <v>146.83238395870382</v>
      </c>
      <c r="F11" s="540">
        <f t="shared" si="1"/>
        <v>-1900</v>
      </c>
      <c r="G11" t="str">
        <f t="shared" si="2"/>
        <v>D3</v>
      </c>
    </row>
    <row r="12" spans="1:7" x14ac:dyDescent="0.2">
      <c r="A12" t="s">
        <v>1018</v>
      </c>
      <c r="B12">
        <v>3</v>
      </c>
      <c r="C12">
        <v>51</v>
      </c>
      <c r="D12">
        <v>31</v>
      </c>
      <c r="E12" s="469">
        <f t="shared" si="0"/>
        <v>155.56349186104046</v>
      </c>
      <c r="F12" s="540">
        <f t="shared" si="1"/>
        <v>-1800</v>
      </c>
      <c r="G12" t="str">
        <f t="shared" si="2"/>
        <v>Eb3</v>
      </c>
    </row>
    <row r="13" spans="1:7" x14ac:dyDescent="0.2">
      <c r="A13" t="s">
        <v>76</v>
      </c>
      <c r="B13">
        <v>3</v>
      </c>
      <c r="C13">
        <v>52</v>
      </c>
      <c r="D13">
        <v>32</v>
      </c>
      <c r="E13" s="469">
        <f t="shared" si="0"/>
        <v>164.81377845643496</v>
      </c>
      <c r="F13" s="540">
        <f t="shared" si="1"/>
        <v>-1700</v>
      </c>
      <c r="G13" t="str">
        <f t="shared" si="2"/>
        <v>E3</v>
      </c>
    </row>
    <row r="14" spans="1:7" x14ac:dyDescent="0.2">
      <c r="A14" t="s">
        <v>79</v>
      </c>
      <c r="B14">
        <v>3</v>
      </c>
      <c r="C14">
        <v>53</v>
      </c>
      <c r="D14">
        <v>33</v>
      </c>
      <c r="E14" s="469">
        <f t="shared" si="0"/>
        <v>174.61411571650197</v>
      </c>
      <c r="F14" s="540">
        <f t="shared" si="1"/>
        <v>-1600</v>
      </c>
      <c r="G14" t="str">
        <f t="shared" si="2"/>
        <v>F3</v>
      </c>
    </row>
    <row r="15" spans="1:7" x14ac:dyDescent="0.2">
      <c r="A15" t="s">
        <v>1019</v>
      </c>
      <c r="B15">
        <v>3</v>
      </c>
      <c r="C15">
        <v>54</v>
      </c>
      <c r="D15">
        <v>34</v>
      </c>
      <c r="E15" s="469">
        <f t="shared" si="0"/>
        <v>184.99721135581723</v>
      </c>
      <c r="F15" s="540">
        <f t="shared" si="1"/>
        <v>-1500</v>
      </c>
      <c r="G15" t="str">
        <f t="shared" si="2"/>
        <v>Gb3</v>
      </c>
    </row>
    <row r="16" spans="1:7" x14ac:dyDescent="0.2">
      <c r="A16" t="s">
        <v>64</v>
      </c>
      <c r="B16">
        <v>3</v>
      </c>
      <c r="C16">
        <v>55</v>
      </c>
      <c r="D16">
        <v>35</v>
      </c>
      <c r="E16" s="469">
        <f t="shared" si="0"/>
        <v>195.99771799087463</v>
      </c>
      <c r="F16" s="540">
        <f t="shared" si="1"/>
        <v>-1400</v>
      </c>
      <c r="G16" t="str">
        <f t="shared" si="2"/>
        <v>G3</v>
      </c>
    </row>
    <row r="17" spans="1:7" x14ac:dyDescent="0.2">
      <c r="A17" t="s">
        <v>1020</v>
      </c>
      <c r="B17">
        <v>3</v>
      </c>
      <c r="C17">
        <v>56</v>
      </c>
      <c r="D17">
        <v>36</v>
      </c>
      <c r="E17" s="469">
        <f t="shared" si="0"/>
        <v>207.65234878997259</v>
      </c>
      <c r="F17" s="540">
        <f t="shared" si="1"/>
        <v>-1300</v>
      </c>
      <c r="G17" t="str">
        <f t="shared" si="2"/>
        <v>Ab3</v>
      </c>
    </row>
    <row r="18" spans="1:7" x14ac:dyDescent="0.2">
      <c r="A18" t="s">
        <v>61</v>
      </c>
      <c r="B18">
        <v>3</v>
      </c>
      <c r="C18">
        <v>57</v>
      </c>
      <c r="D18">
        <v>37</v>
      </c>
      <c r="E18" s="469">
        <f t="shared" si="0"/>
        <v>220</v>
      </c>
      <c r="F18" s="540">
        <f t="shared" si="1"/>
        <v>-1200</v>
      </c>
      <c r="G18" t="str">
        <f t="shared" si="2"/>
        <v>A3</v>
      </c>
    </row>
    <row r="19" spans="1:7" x14ac:dyDescent="0.2">
      <c r="A19" t="s">
        <v>1016</v>
      </c>
      <c r="B19">
        <v>3</v>
      </c>
      <c r="C19">
        <v>58</v>
      </c>
      <c r="D19">
        <v>38</v>
      </c>
      <c r="E19" s="469">
        <f t="shared" si="0"/>
        <v>233.08188075904496</v>
      </c>
      <c r="F19" s="540">
        <f t="shared" si="1"/>
        <v>-1100</v>
      </c>
      <c r="G19" t="str">
        <f t="shared" si="2"/>
        <v>Bb3</v>
      </c>
    </row>
    <row r="20" spans="1:7" x14ac:dyDescent="0.2">
      <c r="A20" t="s">
        <v>70</v>
      </c>
      <c r="B20">
        <v>3</v>
      </c>
      <c r="C20">
        <v>59</v>
      </c>
      <c r="D20">
        <v>39</v>
      </c>
      <c r="E20" s="469">
        <f t="shared" si="0"/>
        <v>246.94165062806206</v>
      </c>
      <c r="F20" s="540">
        <f t="shared" si="1"/>
        <v>-1000</v>
      </c>
      <c r="G20" t="str">
        <f t="shared" si="2"/>
        <v>B3</v>
      </c>
    </row>
    <row r="21" spans="1:7" x14ac:dyDescent="0.2">
      <c r="A21" t="s">
        <v>73</v>
      </c>
      <c r="B21">
        <v>4</v>
      </c>
      <c r="C21">
        <v>60</v>
      </c>
      <c r="D21">
        <v>40</v>
      </c>
      <c r="E21" s="469">
        <f t="shared" si="0"/>
        <v>261.62556530059862</v>
      </c>
      <c r="F21" s="540">
        <f t="shared" si="1"/>
        <v>-900</v>
      </c>
      <c r="G21" t="str">
        <f t="shared" si="2"/>
        <v>C4</v>
      </c>
    </row>
    <row r="22" spans="1:7" x14ac:dyDescent="0.2">
      <c r="A22" t="s">
        <v>1017</v>
      </c>
      <c r="B22">
        <v>4</v>
      </c>
      <c r="C22">
        <v>61</v>
      </c>
      <c r="D22">
        <v>41</v>
      </c>
      <c r="E22" s="469">
        <f t="shared" si="0"/>
        <v>277.18263097687208</v>
      </c>
      <c r="F22" s="540">
        <f t="shared" si="1"/>
        <v>-800</v>
      </c>
      <c r="G22" t="str">
        <f t="shared" si="2"/>
        <v>Db4</v>
      </c>
    </row>
    <row r="23" spans="1:7" x14ac:dyDescent="0.2">
      <c r="A23" t="s">
        <v>159</v>
      </c>
      <c r="B23">
        <v>4</v>
      </c>
      <c r="C23">
        <v>62</v>
      </c>
      <c r="D23">
        <v>42</v>
      </c>
      <c r="E23" s="469">
        <f t="shared" si="0"/>
        <v>293.66476791740757</v>
      </c>
      <c r="F23" s="540">
        <f t="shared" si="1"/>
        <v>-700</v>
      </c>
      <c r="G23" t="str">
        <f t="shared" si="2"/>
        <v>D4</v>
      </c>
    </row>
    <row r="24" spans="1:7" x14ac:dyDescent="0.2">
      <c r="A24" t="s">
        <v>1018</v>
      </c>
      <c r="B24">
        <v>4</v>
      </c>
      <c r="C24">
        <v>63</v>
      </c>
      <c r="D24">
        <v>43</v>
      </c>
      <c r="E24" s="469">
        <f t="shared" si="0"/>
        <v>311.12698372208087</v>
      </c>
      <c r="F24" s="540">
        <f t="shared" si="1"/>
        <v>-600</v>
      </c>
      <c r="G24" t="str">
        <f t="shared" si="2"/>
        <v>Eb4</v>
      </c>
    </row>
    <row r="25" spans="1:7" x14ac:dyDescent="0.2">
      <c r="A25" t="s">
        <v>76</v>
      </c>
      <c r="B25">
        <v>4</v>
      </c>
      <c r="C25">
        <v>64</v>
      </c>
      <c r="D25">
        <v>44</v>
      </c>
      <c r="E25" s="469">
        <f t="shared" si="0"/>
        <v>329.62755691286992</v>
      </c>
      <c r="F25" s="540">
        <f t="shared" si="1"/>
        <v>-500</v>
      </c>
      <c r="G25" t="str">
        <f t="shared" si="2"/>
        <v>E4</v>
      </c>
    </row>
    <row r="26" spans="1:7" x14ac:dyDescent="0.2">
      <c r="A26" t="s">
        <v>79</v>
      </c>
      <c r="B26">
        <v>4</v>
      </c>
      <c r="C26">
        <v>65</v>
      </c>
      <c r="D26">
        <v>45</v>
      </c>
      <c r="E26" s="469">
        <f t="shared" si="0"/>
        <v>349.22823143300388</v>
      </c>
      <c r="F26" s="540">
        <f t="shared" si="1"/>
        <v>-400</v>
      </c>
      <c r="G26" t="str">
        <f t="shared" si="2"/>
        <v>F4</v>
      </c>
    </row>
    <row r="27" spans="1:7" x14ac:dyDescent="0.2">
      <c r="A27" t="s">
        <v>1019</v>
      </c>
      <c r="B27">
        <v>4</v>
      </c>
      <c r="C27">
        <v>66</v>
      </c>
      <c r="D27">
        <v>46</v>
      </c>
      <c r="E27" s="469">
        <f t="shared" si="0"/>
        <v>369.99442271163446</v>
      </c>
      <c r="F27" s="540">
        <f t="shared" si="1"/>
        <v>-300</v>
      </c>
      <c r="G27" t="str">
        <f t="shared" si="2"/>
        <v>Gb4</v>
      </c>
    </row>
    <row r="28" spans="1:7" x14ac:dyDescent="0.2">
      <c r="A28" t="s">
        <v>64</v>
      </c>
      <c r="B28">
        <v>4</v>
      </c>
      <c r="C28">
        <v>67</v>
      </c>
      <c r="D28">
        <v>47</v>
      </c>
      <c r="E28" s="469">
        <f t="shared" si="0"/>
        <v>391.99543598174927</v>
      </c>
      <c r="F28" s="540">
        <f t="shared" si="1"/>
        <v>-200</v>
      </c>
      <c r="G28" t="str">
        <f t="shared" si="2"/>
        <v>G4</v>
      </c>
    </row>
    <row r="29" spans="1:7" x14ac:dyDescent="0.2">
      <c r="A29" t="s">
        <v>1020</v>
      </c>
      <c r="B29">
        <v>4</v>
      </c>
      <c r="C29">
        <v>68</v>
      </c>
      <c r="D29">
        <v>48</v>
      </c>
      <c r="E29" s="469">
        <f t="shared" si="0"/>
        <v>415.30469757994513</v>
      </c>
      <c r="F29" s="540">
        <f t="shared" si="1"/>
        <v>-100</v>
      </c>
      <c r="G29" t="str">
        <f t="shared" si="2"/>
        <v>Ab4</v>
      </c>
    </row>
    <row r="30" spans="1:7" x14ac:dyDescent="0.2">
      <c r="A30" s="541" t="s">
        <v>61</v>
      </c>
      <c r="B30" s="541">
        <v>4</v>
      </c>
      <c r="C30" s="541">
        <v>69</v>
      </c>
      <c r="D30" s="541">
        <v>49</v>
      </c>
      <c r="E30" s="543">
        <f t="shared" si="0"/>
        <v>440</v>
      </c>
      <c r="F30" s="544">
        <f t="shared" si="1"/>
        <v>0</v>
      </c>
      <c r="G30" t="str">
        <f t="shared" si="2"/>
        <v>A4</v>
      </c>
    </row>
    <row r="31" spans="1:7" x14ac:dyDescent="0.2">
      <c r="A31" t="s">
        <v>1016</v>
      </c>
      <c r="B31">
        <v>4</v>
      </c>
      <c r="C31">
        <v>70</v>
      </c>
      <c r="D31">
        <v>50</v>
      </c>
      <c r="E31" s="469">
        <f t="shared" si="0"/>
        <v>466.16376151808993</v>
      </c>
      <c r="F31" s="540">
        <f t="shared" si="1"/>
        <v>100</v>
      </c>
      <c r="G31" t="str">
        <f t="shared" si="2"/>
        <v>Bb4</v>
      </c>
    </row>
    <row r="32" spans="1:7" x14ac:dyDescent="0.2">
      <c r="A32" t="s">
        <v>70</v>
      </c>
      <c r="B32">
        <v>4</v>
      </c>
      <c r="C32">
        <v>71</v>
      </c>
      <c r="D32">
        <v>51</v>
      </c>
      <c r="E32" s="469">
        <f t="shared" si="0"/>
        <v>493.88330125612413</v>
      </c>
      <c r="F32" s="540">
        <f t="shared" si="1"/>
        <v>200</v>
      </c>
      <c r="G32" t="str">
        <f t="shared" si="2"/>
        <v>B4</v>
      </c>
    </row>
    <row r="33" spans="1:7" x14ac:dyDescent="0.2">
      <c r="A33" t="s">
        <v>73</v>
      </c>
      <c r="B33">
        <v>5</v>
      </c>
      <c r="C33">
        <v>72</v>
      </c>
      <c r="D33">
        <v>52</v>
      </c>
      <c r="E33" s="469">
        <f t="shared" si="0"/>
        <v>523.25113060119725</v>
      </c>
      <c r="F33" s="540">
        <f t="shared" si="1"/>
        <v>300</v>
      </c>
      <c r="G33" t="str">
        <f t="shared" si="2"/>
        <v>C5</v>
      </c>
    </row>
    <row r="34" spans="1:7" x14ac:dyDescent="0.2">
      <c r="A34" t="s">
        <v>1017</v>
      </c>
      <c r="B34">
        <v>5</v>
      </c>
      <c r="C34">
        <v>73</v>
      </c>
      <c r="D34">
        <v>53</v>
      </c>
      <c r="E34" s="469">
        <f t="shared" si="0"/>
        <v>554.36526195374415</v>
      </c>
      <c r="F34" s="540">
        <f t="shared" si="1"/>
        <v>400</v>
      </c>
      <c r="G34" t="str">
        <f t="shared" si="2"/>
        <v>Db5</v>
      </c>
    </row>
    <row r="35" spans="1:7" x14ac:dyDescent="0.2">
      <c r="A35" t="s">
        <v>159</v>
      </c>
      <c r="B35">
        <v>5</v>
      </c>
      <c r="C35">
        <v>74</v>
      </c>
      <c r="D35">
        <v>54</v>
      </c>
      <c r="E35" s="469">
        <f t="shared" si="0"/>
        <v>587.32953583481515</v>
      </c>
      <c r="F35" s="540">
        <f t="shared" si="1"/>
        <v>500</v>
      </c>
      <c r="G35" t="str">
        <f t="shared" si="2"/>
        <v>D5</v>
      </c>
    </row>
    <row r="36" spans="1:7" x14ac:dyDescent="0.2">
      <c r="A36" t="s">
        <v>1018</v>
      </c>
      <c r="B36">
        <v>5</v>
      </c>
      <c r="C36">
        <v>75</v>
      </c>
      <c r="D36">
        <v>55</v>
      </c>
      <c r="E36" s="469">
        <f t="shared" si="0"/>
        <v>622.25396744416184</v>
      </c>
      <c r="F36" s="540">
        <f t="shared" si="1"/>
        <v>600</v>
      </c>
      <c r="G36" t="str">
        <f t="shared" si="2"/>
        <v>Eb5</v>
      </c>
    </row>
    <row r="37" spans="1:7" x14ac:dyDescent="0.2">
      <c r="A37" t="s">
        <v>76</v>
      </c>
      <c r="B37">
        <v>5</v>
      </c>
      <c r="C37">
        <v>76</v>
      </c>
      <c r="D37">
        <v>56</v>
      </c>
      <c r="E37" s="469">
        <f t="shared" si="0"/>
        <v>659.25511382573984</v>
      </c>
      <c r="F37" s="540">
        <f t="shared" si="1"/>
        <v>700</v>
      </c>
      <c r="G37" t="str">
        <f t="shared" si="2"/>
        <v>E5</v>
      </c>
    </row>
    <row r="38" spans="1:7" x14ac:dyDescent="0.2">
      <c r="A38" t="s">
        <v>79</v>
      </c>
      <c r="B38">
        <v>5</v>
      </c>
      <c r="C38">
        <v>77</v>
      </c>
      <c r="D38">
        <v>57</v>
      </c>
      <c r="E38" s="469">
        <f t="shared" si="0"/>
        <v>698.45646286600777</v>
      </c>
      <c r="F38" s="540">
        <f t="shared" si="1"/>
        <v>800</v>
      </c>
      <c r="G38" t="str">
        <f t="shared" si="2"/>
        <v>F5</v>
      </c>
    </row>
    <row r="39" spans="1:7" x14ac:dyDescent="0.2">
      <c r="A39" t="s">
        <v>1019</v>
      </c>
      <c r="B39">
        <v>5</v>
      </c>
      <c r="C39">
        <v>78</v>
      </c>
      <c r="D39">
        <v>58</v>
      </c>
      <c r="E39" s="469">
        <f t="shared" si="0"/>
        <v>739.9888454232688</v>
      </c>
      <c r="F39" s="540">
        <f t="shared" si="1"/>
        <v>900</v>
      </c>
      <c r="G39" t="str">
        <f t="shared" si="2"/>
        <v>Gb5</v>
      </c>
    </row>
    <row r="40" spans="1:7" x14ac:dyDescent="0.2">
      <c r="A40" t="s">
        <v>64</v>
      </c>
      <c r="B40">
        <v>5</v>
      </c>
      <c r="C40">
        <v>79</v>
      </c>
      <c r="D40">
        <v>59</v>
      </c>
      <c r="E40" s="469">
        <f t="shared" si="0"/>
        <v>783.99087196349853</v>
      </c>
      <c r="F40" s="540">
        <f t="shared" si="1"/>
        <v>1000</v>
      </c>
      <c r="G40" t="str">
        <f t="shared" si="2"/>
        <v>G5</v>
      </c>
    </row>
    <row r="41" spans="1:7" x14ac:dyDescent="0.2">
      <c r="A41" t="s">
        <v>1020</v>
      </c>
      <c r="B41">
        <v>5</v>
      </c>
      <c r="C41">
        <v>80</v>
      </c>
      <c r="D41">
        <v>60</v>
      </c>
      <c r="E41" s="469">
        <f t="shared" si="0"/>
        <v>830.60939515989025</v>
      </c>
      <c r="F41" s="540">
        <f t="shared" si="1"/>
        <v>1100</v>
      </c>
      <c r="G41" t="str">
        <f t="shared" si="2"/>
        <v>Ab5</v>
      </c>
    </row>
    <row r="42" spans="1:7" x14ac:dyDescent="0.2">
      <c r="A42" t="s">
        <v>61</v>
      </c>
      <c r="B42">
        <v>5</v>
      </c>
      <c r="C42">
        <v>81</v>
      </c>
      <c r="D42">
        <v>61</v>
      </c>
      <c r="E42" s="469">
        <f t="shared" si="0"/>
        <v>880</v>
      </c>
      <c r="F42" s="540">
        <f t="shared" si="1"/>
        <v>1200</v>
      </c>
      <c r="G42" t="str">
        <f t="shared" si="2"/>
        <v>A5</v>
      </c>
    </row>
    <row r="43" spans="1:7" x14ac:dyDescent="0.2">
      <c r="A43" t="s">
        <v>1016</v>
      </c>
      <c r="B43">
        <v>5</v>
      </c>
      <c r="C43">
        <v>82</v>
      </c>
      <c r="D43">
        <v>62</v>
      </c>
      <c r="E43" s="469">
        <f t="shared" si="0"/>
        <v>932.32752303617963</v>
      </c>
      <c r="F43" s="540">
        <f t="shared" si="1"/>
        <v>1300</v>
      </c>
      <c r="G43" t="str">
        <f t="shared" si="2"/>
        <v>Bb5</v>
      </c>
    </row>
    <row r="44" spans="1:7" x14ac:dyDescent="0.2">
      <c r="A44" t="s">
        <v>70</v>
      </c>
      <c r="B44">
        <v>5</v>
      </c>
      <c r="C44">
        <v>83</v>
      </c>
      <c r="D44">
        <v>63</v>
      </c>
      <c r="E44" s="469">
        <f t="shared" si="0"/>
        <v>987.76660251224826</v>
      </c>
      <c r="F44" s="540">
        <f t="shared" si="1"/>
        <v>1400</v>
      </c>
      <c r="G44" t="str">
        <f t="shared" si="2"/>
        <v>B5</v>
      </c>
    </row>
    <row r="45" spans="1:7" x14ac:dyDescent="0.2">
      <c r="A45" t="s">
        <v>73</v>
      </c>
      <c r="B45">
        <v>6</v>
      </c>
      <c r="C45">
        <v>84</v>
      </c>
      <c r="D45">
        <v>64</v>
      </c>
      <c r="E45" s="469">
        <f t="shared" si="0"/>
        <v>1046.5022612023945</v>
      </c>
      <c r="F45" s="540">
        <f t="shared" si="1"/>
        <v>1500</v>
      </c>
      <c r="G45" t="str">
        <f t="shared" si="2"/>
        <v>C6</v>
      </c>
    </row>
    <row r="46" spans="1:7" x14ac:dyDescent="0.2">
      <c r="A46" t="s">
        <v>1017</v>
      </c>
      <c r="B46">
        <v>6</v>
      </c>
      <c r="C46">
        <v>85</v>
      </c>
      <c r="D46">
        <v>65</v>
      </c>
      <c r="E46" s="469">
        <f t="shared" si="0"/>
        <v>1108.7305239074883</v>
      </c>
      <c r="F46" s="540">
        <f t="shared" si="1"/>
        <v>1600</v>
      </c>
      <c r="G46" t="str">
        <f t="shared" si="2"/>
        <v>Db6</v>
      </c>
    </row>
    <row r="47" spans="1:7" x14ac:dyDescent="0.2">
      <c r="A47" t="s">
        <v>159</v>
      </c>
      <c r="B47">
        <v>7</v>
      </c>
      <c r="C47">
        <v>86</v>
      </c>
      <c r="D47">
        <v>66</v>
      </c>
      <c r="E47" s="469">
        <f t="shared" si="0"/>
        <v>1174.6590716696303</v>
      </c>
      <c r="F47" s="540">
        <f t="shared" si="1"/>
        <v>1700</v>
      </c>
      <c r="G47" t="str">
        <f t="shared" si="2"/>
        <v>D7</v>
      </c>
    </row>
    <row r="49" spans="1:8" ht="15.75" x14ac:dyDescent="0.25">
      <c r="A49" s="538" t="s">
        <v>1021</v>
      </c>
      <c r="B49" s="539"/>
      <c r="C49" s="539"/>
      <c r="D49" s="539"/>
      <c r="E49" s="539"/>
      <c r="F49" s="539"/>
      <c r="G49" s="539"/>
      <c r="H49" s="539"/>
    </row>
    <row r="51" spans="1:8" ht="15" x14ac:dyDescent="0.25">
      <c r="A51" s="545" t="s">
        <v>1022</v>
      </c>
    </row>
    <row r="52" spans="1:8" x14ac:dyDescent="0.2">
      <c r="A52" s="546" t="s">
        <v>1023</v>
      </c>
    </row>
    <row r="54" spans="1:8" x14ac:dyDescent="0.2">
      <c r="A54" s="475" t="s">
        <v>1024</v>
      </c>
      <c r="B54" s="475" t="s">
        <v>1025</v>
      </c>
      <c r="C54" s="475" t="s">
        <v>1026</v>
      </c>
      <c r="D54" s="475" t="s">
        <v>1027</v>
      </c>
      <c r="E54" s="475" t="s">
        <v>1028</v>
      </c>
      <c r="F54" s="475" t="s">
        <v>1029</v>
      </c>
      <c r="G54" s="475" t="s">
        <v>1030</v>
      </c>
      <c r="H54" s="475" t="s">
        <v>1031</v>
      </c>
    </row>
    <row r="55" spans="1:8" x14ac:dyDescent="0.2">
      <c r="A55" s="483">
        <v>1.375</v>
      </c>
      <c r="B55" t="s">
        <v>1032</v>
      </c>
      <c r="C55" s="482">
        <v>4.4119999999999999</v>
      </c>
      <c r="D55" s="483">
        <v>4.4800000000000004</v>
      </c>
      <c r="E55" s="547">
        <f t="shared" ref="E55:E63" si="3">D55-C55</f>
        <v>6.8000000000000504E-2</v>
      </c>
      <c r="F55" s="548">
        <f t="shared" ref="F55:F63" si="4">E55/C55</f>
        <v>1.5412511332729036E-2</v>
      </c>
      <c r="G55" t="s">
        <v>1033</v>
      </c>
      <c r="H55" s="549" t="s">
        <v>1034</v>
      </c>
    </row>
    <row r="56" spans="1:8" x14ac:dyDescent="0.2">
      <c r="A56" s="483">
        <v>1.25</v>
      </c>
      <c r="B56" t="s">
        <v>1035</v>
      </c>
      <c r="C56" s="482">
        <v>4.5049999999999999</v>
      </c>
      <c r="D56" s="483">
        <v>4.5599999999999996</v>
      </c>
      <c r="E56" s="547">
        <f t="shared" si="3"/>
        <v>5.4999999999999716E-2</v>
      </c>
      <c r="F56" s="548">
        <f t="shared" si="4"/>
        <v>1.2208657047724688E-2</v>
      </c>
      <c r="G56" t="s">
        <v>1036</v>
      </c>
      <c r="H56" s="549" t="s">
        <v>1034</v>
      </c>
    </row>
    <row r="57" spans="1:8" x14ac:dyDescent="0.2">
      <c r="A57" s="483">
        <v>1.125</v>
      </c>
      <c r="B57" t="s">
        <v>1037</v>
      </c>
      <c r="C57" s="482">
        <v>3.1579999999999999</v>
      </c>
      <c r="D57" s="483">
        <v>3.19</v>
      </c>
      <c r="E57" s="547">
        <f t="shared" si="3"/>
        <v>3.2000000000000028E-2</v>
      </c>
      <c r="F57" s="548">
        <f t="shared" si="4"/>
        <v>1.0132995566814448E-2</v>
      </c>
      <c r="G57" t="s">
        <v>1038</v>
      </c>
      <c r="H57" s="549" t="s">
        <v>1034</v>
      </c>
    </row>
    <row r="58" spans="1:8" x14ac:dyDescent="0.2">
      <c r="A58" s="483">
        <v>1</v>
      </c>
      <c r="B58" t="s">
        <v>1039</v>
      </c>
      <c r="C58" s="482">
        <v>2.7450000000000001</v>
      </c>
      <c r="D58" s="483">
        <v>2.76</v>
      </c>
      <c r="E58" s="547">
        <f t="shared" si="3"/>
        <v>1.499999999999968E-2</v>
      </c>
      <c r="F58" s="548">
        <f t="shared" si="4"/>
        <v>5.4644808743168228E-3</v>
      </c>
      <c r="G58" t="s">
        <v>1036</v>
      </c>
      <c r="H58" s="549" t="s">
        <v>1034</v>
      </c>
    </row>
    <row r="59" spans="1:8" x14ac:dyDescent="0.2">
      <c r="A59" s="550">
        <v>0.875</v>
      </c>
      <c r="B59" s="551" t="s">
        <v>1040</v>
      </c>
      <c r="C59" s="552">
        <v>2.081</v>
      </c>
      <c r="D59" s="550">
        <v>2.09</v>
      </c>
      <c r="E59" s="553">
        <f t="shared" si="3"/>
        <v>8.999999999999897E-3</v>
      </c>
      <c r="F59" s="554">
        <f t="shared" si="4"/>
        <v>4.3248438250840446E-3</v>
      </c>
      <c r="G59" s="551" t="s">
        <v>1041</v>
      </c>
      <c r="H59" s="555" t="s">
        <v>1042</v>
      </c>
    </row>
    <row r="60" spans="1:8" x14ac:dyDescent="0.2">
      <c r="A60" s="483">
        <v>0.75</v>
      </c>
      <c r="B60" t="s">
        <v>1043</v>
      </c>
      <c r="C60" s="482">
        <v>1.76</v>
      </c>
      <c r="D60" s="483">
        <v>1.748</v>
      </c>
      <c r="E60" s="547">
        <f t="shared" si="3"/>
        <v>-1.2000000000000011E-2</v>
      </c>
      <c r="F60" s="548">
        <f t="shared" si="4"/>
        <v>-6.8181818181818239E-3</v>
      </c>
      <c r="G60" t="s">
        <v>1044</v>
      </c>
      <c r="H60" s="556" t="s">
        <v>1045</v>
      </c>
    </row>
    <row r="61" spans="1:8" x14ac:dyDescent="0.2">
      <c r="A61" s="483">
        <v>0.625</v>
      </c>
      <c r="B61" t="s">
        <v>1046</v>
      </c>
      <c r="C61" s="482">
        <v>1.3979999999999999</v>
      </c>
      <c r="D61" s="483">
        <v>1.3680000000000001</v>
      </c>
      <c r="E61" s="547">
        <f t="shared" si="3"/>
        <v>-2.9999999999999805E-2</v>
      </c>
      <c r="F61" s="548">
        <f t="shared" si="4"/>
        <v>-2.145922746781102E-2</v>
      </c>
      <c r="G61" t="s">
        <v>1047</v>
      </c>
      <c r="H61" s="556" t="s">
        <v>1045</v>
      </c>
    </row>
    <row r="62" spans="1:8" x14ac:dyDescent="0.2">
      <c r="A62" s="483">
        <v>0.5</v>
      </c>
      <c r="B62" t="s">
        <v>1048</v>
      </c>
      <c r="C62" s="482">
        <v>1.1120000000000001</v>
      </c>
      <c r="D62" s="483">
        <v>1.06</v>
      </c>
      <c r="E62" s="547">
        <f t="shared" si="3"/>
        <v>-5.2000000000000046E-2</v>
      </c>
      <c r="F62" s="548">
        <f t="shared" si="4"/>
        <v>-4.6762589928057589E-2</v>
      </c>
      <c r="G62" t="s">
        <v>1049</v>
      </c>
      <c r="H62" s="556" t="s">
        <v>1045</v>
      </c>
    </row>
    <row r="63" spans="1:8" x14ac:dyDescent="0.2">
      <c r="A63" s="557">
        <v>0.4375</v>
      </c>
      <c r="B63" t="s">
        <v>1050</v>
      </c>
      <c r="C63" s="482">
        <v>0.95899999999999996</v>
      </c>
      <c r="D63" s="483">
        <v>0.90200000000000002</v>
      </c>
      <c r="E63" s="547">
        <f t="shared" si="3"/>
        <v>-5.699999999999994E-2</v>
      </c>
      <c r="F63" s="548">
        <f t="shared" si="4"/>
        <v>-5.9436913451511933E-2</v>
      </c>
      <c r="G63" t="s">
        <v>1044</v>
      </c>
      <c r="H63" s="556" t="s">
        <v>1045</v>
      </c>
    </row>
    <row r="65" spans="1:2" x14ac:dyDescent="0.2">
      <c r="A65" s="472" t="s">
        <v>1051</v>
      </c>
    </row>
    <row r="66" spans="1:2" x14ac:dyDescent="0.2">
      <c r="A66" s="558" t="s">
        <v>1052</v>
      </c>
    </row>
    <row r="67" spans="1:2" x14ac:dyDescent="0.2">
      <c r="A67" s="558" t="s">
        <v>1053</v>
      </c>
    </row>
    <row r="68" spans="1:2" x14ac:dyDescent="0.2">
      <c r="A68" s="558" t="s">
        <v>1054</v>
      </c>
    </row>
    <row r="69" spans="1:2" x14ac:dyDescent="0.2">
      <c r="A69" s="558" t="s">
        <v>1055</v>
      </c>
    </row>
    <row r="70" spans="1:2" x14ac:dyDescent="0.2">
      <c r="A70" s="558" t="s">
        <v>1056</v>
      </c>
    </row>
    <row r="71" spans="1:2" x14ac:dyDescent="0.2">
      <c r="A71" s="558" t="s">
        <v>1057</v>
      </c>
    </row>
    <row r="73" spans="1:2" ht="18" x14ac:dyDescent="0.25">
      <c r="A73" s="559" t="s">
        <v>1058</v>
      </c>
    </row>
    <row r="74" spans="1:2" x14ac:dyDescent="0.2">
      <c r="A74" s="546" t="s">
        <v>1059</v>
      </c>
    </row>
    <row r="75" spans="1:2" x14ac:dyDescent="0.2">
      <c r="A75" s="537" t="s">
        <v>1060</v>
      </c>
    </row>
    <row r="76" spans="1:2" ht="13.5" thickBot="1" x14ac:dyDescent="0.25"/>
    <row r="77" spans="1:2" ht="15.75" x14ac:dyDescent="0.25">
      <c r="A77" s="592" t="s">
        <v>1061</v>
      </c>
      <c r="B77" s="593"/>
    </row>
    <row r="78" spans="1:2" x14ac:dyDescent="0.2">
      <c r="A78" s="566" t="s">
        <v>1062</v>
      </c>
      <c r="B78" s="583" t="s">
        <v>61</v>
      </c>
    </row>
    <row r="79" spans="1:2" x14ac:dyDescent="0.2">
      <c r="A79" s="566" t="s">
        <v>1063</v>
      </c>
      <c r="B79" s="583">
        <v>4</v>
      </c>
    </row>
    <row r="80" spans="1:2" x14ac:dyDescent="0.2">
      <c r="A80" s="566" t="s">
        <v>1064</v>
      </c>
      <c r="B80" s="584">
        <v>443.5</v>
      </c>
    </row>
    <row r="81" spans="1:8" x14ac:dyDescent="0.2">
      <c r="A81" s="566" t="s">
        <v>1065</v>
      </c>
      <c r="B81" s="585">
        <v>72</v>
      </c>
    </row>
    <row r="82" spans="1:8" x14ac:dyDescent="0.2">
      <c r="A82" s="567"/>
      <c r="B82" s="567"/>
    </row>
    <row r="83" spans="1:8" ht="15.75" x14ac:dyDescent="0.25">
      <c r="A83" s="586" t="s">
        <v>1067</v>
      </c>
      <c r="B83" s="567"/>
    </row>
    <row r="84" spans="1:8" x14ac:dyDescent="0.2">
      <c r="A84" s="566" t="s">
        <v>1068</v>
      </c>
      <c r="B84" s="587">
        <f>INDEX(E6:E47,MATCH(B78&amp;B79,G6:G47,0))</f>
        <v>440</v>
      </c>
    </row>
    <row r="85" spans="1:8" x14ac:dyDescent="0.2">
      <c r="A85" s="566" t="s">
        <v>1069</v>
      </c>
      <c r="B85" s="587">
        <f>B84*SQRT((B81+459.67)/528.67)</f>
        <v>441.24664977272056</v>
      </c>
    </row>
    <row r="86" spans="1:8" ht="15.75" x14ac:dyDescent="0.25">
      <c r="A86" s="588" t="s">
        <v>1070</v>
      </c>
      <c r="B86" s="589">
        <f>1200*LOG(B80/B85,2)</f>
        <v>8.8185359592566961</v>
      </c>
    </row>
    <row r="87" spans="1:8" x14ac:dyDescent="0.2">
      <c r="A87" s="566" t="s">
        <v>1071</v>
      </c>
      <c r="B87" s="590">
        <f>B80-B85</f>
        <v>2.2533502272794408</v>
      </c>
    </row>
    <row r="88" spans="1:8" x14ac:dyDescent="0.2">
      <c r="A88" s="566" t="s">
        <v>1031</v>
      </c>
      <c r="B88" s="566" t="str">
        <f>IF(B86&gt;5,"SHARP - shorten bore or enlarge hole",IF(B86&lt;-5,"FLAT - lengthen bore or shrink hole","IN TUNE"))</f>
        <v>SHARP - shorten bore or enlarge hole</v>
      </c>
    </row>
    <row r="89" spans="1:8" ht="13.5" thickBot="1" x14ac:dyDescent="0.25">
      <c r="A89" s="591" t="s">
        <v>1072</v>
      </c>
      <c r="B89" s="591" t="str">
        <f>IF(ABS(B86)&lt;=5,"Excellent (within 5 cents)",IF(ABS(B86)&lt;=10,"Good (within 10 cents)",IF(ABS(B86)&lt;=25,"Acceptable (within 25 cents)","Needs correction")))</f>
        <v>Good (within 10 cents)</v>
      </c>
    </row>
    <row r="91" spans="1:8" ht="15.75" x14ac:dyDescent="0.25">
      <c r="A91" s="560" t="s">
        <v>1073</v>
      </c>
    </row>
    <row r="92" spans="1:8" x14ac:dyDescent="0.2">
      <c r="A92" s="563" t="s">
        <v>1074</v>
      </c>
    </row>
    <row r="94" spans="1:8" x14ac:dyDescent="0.2">
      <c r="A94" s="472" t="s">
        <v>1075</v>
      </c>
      <c r="B94" s="561" t="s">
        <v>64</v>
      </c>
      <c r="C94" s="472" t="s">
        <v>1011</v>
      </c>
      <c r="D94" s="561">
        <v>4</v>
      </c>
    </row>
    <row r="95" spans="1:8" ht="13.5" thickBot="1" x14ac:dyDescent="0.25"/>
    <row r="96" spans="1:8" x14ac:dyDescent="0.2">
      <c r="A96" s="577" t="s">
        <v>1076</v>
      </c>
      <c r="B96" s="576" t="s">
        <v>1062</v>
      </c>
      <c r="C96" s="576" t="s">
        <v>1077</v>
      </c>
      <c r="D96" s="576" t="s">
        <v>1078</v>
      </c>
      <c r="E96" s="576" t="s">
        <v>1079</v>
      </c>
      <c r="F96" s="576" t="s">
        <v>1080</v>
      </c>
      <c r="G96" s="576" t="s">
        <v>1072</v>
      </c>
      <c r="H96" s="580" t="s">
        <v>1081</v>
      </c>
    </row>
    <row r="97" spans="1:8" x14ac:dyDescent="0.2">
      <c r="A97" s="578" t="s">
        <v>1082</v>
      </c>
      <c r="B97" s="568" t="str" cm="1">
        <f t="array" ref="B97">CHOOSE(MOD(((D94+1)*12+_xlfn.SWITCH(B94,"C",0,"Db",1,"D",2,"Eb",3,"E",4,"F",5,"Gb",6,"F#",6,"G",7,"Ab",8,"A",9,"Bb",10,"B",11)+0),12)+1,"C","Db","D","Eb","E","F","Gb","G","Ab","A","Bb","B")&amp;(INT(((D94+1)*12+_xlfn.SWITCH(B94,"C",0,"Db",1,"D",2,"Eb",3,"E",4,"F",5,"Gb",6,"F#",6,"G",7,"Ab",8,"A",9,"Bb",10,"B",11)+0)/12)-1)</f>
        <v>G4</v>
      </c>
      <c r="C97" s="569" cm="1">
        <f t="array" ref="C97">440*2^((((D94+1)*12+_xlfn.SWITCH(B94,"C",0,"Db",1,"D",2,"Eb",3,"E",4,"F",5,"Gb",6,"F#",6,"G",7,"Ab",8,"A",9,"Bb",10,"B",11)+0)-69)/12)</f>
        <v>391.99543598174927</v>
      </c>
      <c r="D97" s="569">
        <f>C97*SQRT((B81+459.67)/528.67)</f>
        <v>393.10607466623594</v>
      </c>
      <c r="E97" s="570"/>
      <c r="F97" s="571" t="str">
        <f t="shared" ref="F97:F103" si="5">IF(E97="","",1200*LOG(E97/D97,2))</f>
        <v/>
      </c>
      <c r="G97" s="568" t="str">
        <f t="shared" ref="G97:G103" si="6">IF(E97="","",IF(ABS(F97)&lt;=5,"Excellent",IF(ABS(F97)&lt;=10,"Good",IF(ABS(F97)&lt;=25,"Acceptable","Fix"))))</f>
        <v/>
      </c>
      <c r="H97" s="581" t="str">
        <f t="shared" ref="H97:H103" si="7">IF(E97="","",IF(F97&gt;5,"Shorten/enlarge",IF(F97&lt;-5,"Lengthen/shrink","OK")))</f>
        <v/>
      </c>
    </row>
    <row r="98" spans="1:8" x14ac:dyDescent="0.2">
      <c r="A98" s="578" t="s">
        <v>242</v>
      </c>
      <c r="B98" s="568" t="str" cm="1">
        <f t="array" ref="B98">CHOOSE(MOD(((D94+1)*12+_xlfn.SWITCH(B94,"C",0,"Db",1,"D",2,"Eb",3,"E",4,"F",5,"Gb",6,"F#",6,"G",7,"Ab",8,"A",9,"Bb",10,"B",11)+3),12)+1,"C","Db","D","Eb","E","F","Gb","G","Ab","A","Bb","B")&amp;(INT(((D94+1)*12+_xlfn.SWITCH(B94,"C",0,"Db",1,"D",2,"Eb",3,"E",4,"F",5,"Gb",6,"F#",6,"G",7,"Ab",8,"A",9,"Bb",10,"B",11)+3)/12)-1)</f>
        <v>Bb4</v>
      </c>
      <c r="C98" s="569" cm="1">
        <f t="array" ref="C98">440*2^((((D94+1)*12+_xlfn.SWITCH(B94,"C",0,"Db",1,"D",2,"Eb",3,"E",4,"F",5,"Gb",6,"F#",6,"G",7,"Ab",8,"A",9,"Bb",10,"B",11)+3)-69)/12)</f>
        <v>466.16376151808993</v>
      </c>
      <c r="D98" s="569">
        <f>C98*SQRT((B81+459.67)/528.67)</f>
        <v>467.48454094387876</v>
      </c>
      <c r="E98" s="570"/>
      <c r="F98" s="571" t="str">
        <f t="shared" si="5"/>
        <v/>
      </c>
      <c r="G98" s="568" t="str">
        <f t="shared" si="6"/>
        <v/>
      </c>
      <c r="H98" s="581" t="str">
        <f t="shared" si="7"/>
        <v/>
      </c>
    </row>
    <row r="99" spans="1:8" x14ac:dyDescent="0.2">
      <c r="A99" s="578" t="s">
        <v>253</v>
      </c>
      <c r="B99" s="568" t="str" cm="1">
        <f t="array" ref="B99">CHOOSE(MOD(((D94+1)*12+_xlfn.SWITCH(B94,"C",0,"Db",1,"D",2,"Eb",3,"E",4,"F",5,"Gb",6,"F#",6,"G",7,"Ab",8,"A",9,"Bb",10,"B",11)+5),12)+1,"C","Db","D","Eb","E","F","Gb","G","Ab","A","Bb","B")&amp;(INT(((D94+1)*12+_xlfn.SWITCH(B94,"C",0,"Db",1,"D",2,"Eb",3,"E",4,"F",5,"Gb",6,"F#",6,"G",7,"Ab",8,"A",9,"Bb",10,"B",11)+5)/12)-1)</f>
        <v>C5</v>
      </c>
      <c r="C99" s="569" cm="1">
        <f t="array" ref="C99">440*2^((((D94+1)*12+_xlfn.SWITCH(B94,"C",0,"Db",1,"D",2,"Eb",3,"E",4,"F",5,"Gb",6,"F#",6,"G",7,"Ab",8,"A",9,"Bb",10,"B",11)+5)-69)/12)</f>
        <v>523.25113060119725</v>
      </c>
      <c r="D99" s="569">
        <f>C99*SQRT((B81+459.67)/528.67)</f>
        <v>524.73365538083306</v>
      </c>
      <c r="E99" s="570"/>
      <c r="F99" s="571" t="str">
        <f t="shared" si="5"/>
        <v/>
      </c>
      <c r="G99" s="568" t="str">
        <f t="shared" si="6"/>
        <v/>
      </c>
      <c r="H99" s="581" t="str">
        <f t="shared" si="7"/>
        <v/>
      </c>
    </row>
    <row r="100" spans="1:8" x14ac:dyDescent="0.2">
      <c r="A100" s="578" t="s">
        <v>258</v>
      </c>
      <c r="B100" s="568" t="str" cm="1">
        <f t="array" ref="B100">CHOOSE(MOD(((D94+1)*12+_xlfn.SWITCH(B94,"C",0,"Db",1,"D",2,"Eb",3,"E",4,"F",5,"Gb",6,"F#",6,"G",7,"Ab",8,"A",9,"Bb",10,"B",11)+7),12)+1,"C","Db","D","Eb","E","F","Gb","G","Ab","A","Bb","B")&amp;(INT(((D94+1)*12+_xlfn.SWITCH(B94,"C",0,"Db",1,"D",2,"Eb",3,"E",4,"F",5,"Gb",6,"F#",6,"G",7,"Ab",8,"A",9,"Bb",10,"B",11)+7)/12)-1)</f>
        <v>D5</v>
      </c>
      <c r="C100" s="569" cm="1">
        <f t="array" ref="C100">440*2^((((D94+1)*12+_xlfn.SWITCH(B94,"C",0,"Db",1,"D",2,"Eb",3,"E",4,"F",5,"Gb",6,"F#",6,"G",7,"Ab",8,"A",9,"Bb",10,"B",11)+7)-69)/12)</f>
        <v>587.32953583481515</v>
      </c>
      <c r="D100" s="569">
        <f>C100*SQRT((B81+459.67)/528.67)</f>
        <v>588.99361363563457</v>
      </c>
      <c r="E100" s="570"/>
      <c r="F100" s="571" t="str">
        <f t="shared" si="5"/>
        <v/>
      </c>
      <c r="G100" s="568" t="str">
        <f t="shared" si="6"/>
        <v/>
      </c>
      <c r="H100" s="581" t="str">
        <f t="shared" si="7"/>
        <v/>
      </c>
    </row>
    <row r="101" spans="1:8" x14ac:dyDescent="0.2">
      <c r="A101" s="578" t="s">
        <v>262</v>
      </c>
      <c r="B101" s="568" t="str" cm="1">
        <f t="array" ref="B101">CHOOSE(MOD(((D94+1)*12+_xlfn.SWITCH(B94,"C",0,"Db",1,"D",2,"Eb",3,"E",4,"F",5,"Gb",6,"F#",6,"G",7,"Ab",8,"A",9,"Bb",10,"B",11)+8),12)+1,"C","Db","D","Eb","E","F","Gb","G","Ab","A","Bb","B")&amp;(INT(((D94+1)*12+_xlfn.SWITCH(B94,"C",0,"Db",1,"D",2,"Eb",3,"E",4,"F",5,"Gb",6,"F#",6,"G",7,"Ab",8,"A",9,"Bb",10,"B",11)+8)/12)-1)</f>
        <v>Eb5</v>
      </c>
      <c r="C101" s="569" cm="1">
        <f t="array" ref="C101">440*2^((((D94+1)*12+_xlfn.SWITCH(B94,"C",0,"Db",1,"D",2,"Eb",3,"E",4,"F",5,"Gb",6,"F#",6,"G",7,"Ab",8,"A",9,"Bb",10,"B",11)+8)-69)/12)</f>
        <v>622.25396744416184</v>
      </c>
      <c r="D101" s="569">
        <f>C101*SQRT((B81+459.67)/528.67)</f>
        <v>624.01699646027259</v>
      </c>
      <c r="E101" s="570"/>
      <c r="F101" s="571" t="str">
        <f t="shared" si="5"/>
        <v/>
      </c>
      <c r="G101" s="568" t="str">
        <f t="shared" si="6"/>
        <v/>
      </c>
      <c r="H101" s="581" t="str">
        <f t="shared" si="7"/>
        <v/>
      </c>
    </row>
    <row r="102" spans="1:8" x14ac:dyDescent="0.2">
      <c r="A102" s="578" t="s">
        <v>264</v>
      </c>
      <c r="B102" s="568" t="str" cm="1">
        <f t="array" ref="B102">CHOOSE(MOD(((D94+1)*12+_xlfn.SWITCH(B94,"C",0,"Db",1,"D",2,"Eb",3,"E",4,"F",5,"Gb",6,"F#",6,"G",7,"Ab",8,"A",9,"Bb",10,"B",11)+10),12)+1,"C","Db","D","Eb","E","F","Gb","G","Ab","A","Bb","B")&amp;(INT(((D94+1)*12+_xlfn.SWITCH(B94,"C",0,"Db",1,"D",2,"Eb",3,"E",4,"F",5,"Gb",6,"F#",6,"G",7,"Ab",8,"A",9,"Bb",10,"B",11)+10)/12)-1)</f>
        <v>F5</v>
      </c>
      <c r="C102" s="569" cm="1">
        <f t="array" ref="C102">440*2^((((D94+1)*12+_xlfn.SWITCH(B94,"C",0,"Db",1,"D",2,"Eb",3,"E",4,"F",5,"Gb",6,"F#",6,"G",7,"Ab",8,"A",9,"Bb",10,"B",11)+10)-69)/12)</f>
        <v>698.45646286600777</v>
      </c>
      <c r="D102" s="569">
        <f>C102*SQRT((B81+459.67)/528.67)</f>
        <v>700.43539602666021</v>
      </c>
      <c r="E102" s="570"/>
      <c r="F102" s="571" t="str">
        <f t="shared" si="5"/>
        <v/>
      </c>
      <c r="G102" s="568" t="str">
        <f t="shared" si="6"/>
        <v/>
      </c>
      <c r="H102" s="581" t="str">
        <f t="shared" si="7"/>
        <v/>
      </c>
    </row>
    <row r="103" spans="1:8" ht="13.5" thickBot="1" x14ac:dyDescent="0.25">
      <c r="A103" s="579" t="s">
        <v>269</v>
      </c>
      <c r="B103" s="572" t="str" cm="1">
        <f t="array" ref="B103">CHOOSE(MOD(((D94+1)*12+_xlfn.SWITCH(B94,"C",0,"Db",1,"D",2,"Eb",3,"E",4,"F",5,"Gb",6,"F#",6,"G",7,"Ab",8,"A",9,"Bb",10,"B",11)+12),12)+1,"C","Db","D","Eb","E","F","Gb","G","Ab","A","Bb","B")&amp;(INT(((D94+1)*12+_xlfn.SWITCH(B94,"C",0,"Db",1,"D",2,"Eb",3,"E",4,"F",5,"Gb",6,"F#",6,"G",7,"Ab",8,"A",9,"Bb",10,"B",11)+12)/12)-1)</f>
        <v>G5</v>
      </c>
      <c r="C103" s="573" cm="1">
        <f t="array" ref="C103">440*2^((((D94+1)*12+_xlfn.SWITCH(B94,"C",0,"Db",1,"D",2,"Eb",3,"E",4,"F",5,"Gb",6,"F#",6,"G",7,"Ab",8,"A",9,"Bb",10,"B",11)+12)-69)/12)</f>
        <v>783.99087196349853</v>
      </c>
      <c r="D103" s="573">
        <f>C103*SQRT((B81+459.67)/528.67)</f>
        <v>786.21214933247188</v>
      </c>
      <c r="E103" s="574"/>
      <c r="F103" s="575" t="str">
        <f t="shared" si="5"/>
        <v/>
      </c>
      <c r="G103" s="572" t="str">
        <f t="shared" si="6"/>
        <v/>
      </c>
      <c r="H103" s="582" t="str">
        <f t="shared" si="7"/>
        <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B0BC6-1726-450C-93C3-A968500BB466}">
  <dimension ref="A1:AM95"/>
  <sheetViews>
    <sheetView workbookViewId="0"/>
  </sheetViews>
  <sheetFormatPr defaultRowHeight="12.75" x14ac:dyDescent="0.2"/>
  <cols>
    <col min="1" max="1" width="137.140625" customWidth="1"/>
    <col min="2" max="2" width="7.5703125" customWidth="1"/>
  </cols>
  <sheetData>
    <row r="1" spans="1:39" ht="18" x14ac:dyDescent="0.25">
      <c r="A1" s="470" t="s">
        <v>1176</v>
      </c>
      <c r="W1" s="638" t="s">
        <v>1180</v>
      </c>
    </row>
    <row r="2" spans="1:39" x14ac:dyDescent="0.2">
      <c r="A2" s="633" t="s">
        <v>1177</v>
      </c>
      <c r="B2" s="467" t="s">
        <v>1083</v>
      </c>
      <c r="C2" s="467" t="s">
        <v>13</v>
      </c>
      <c r="D2" s="467" t="s">
        <v>14</v>
      </c>
      <c r="E2" s="467" t="s">
        <v>15</v>
      </c>
      <c r="F2" s="467" t="s">
        <v>16</v>
      </c>
      <c r="G2" s="467" t="s">
        <v>17</v>
      </c>
      <c r="H2" s="467" t="s">
        <v>18</v>
      </c>
      <c r="I2" s="467" t="s">
        <v>19</v>
      </c>
      <c r="J2" s="467" t="s">
        <v>20</v>
      </c>
      <c r="K2" s="467" t="s">
        <v>35</v>
      </c>
      <c r="L2" s="467" t="s">
        <v>210</v>
      </c>
      <c r="M2" s="467" t="s">
        <v>211</v>
      </c>
      <c r="N2" s="467" t="s">
        <v>45</v>
      </c>
      <c r="O2" s="467" t="s">
        <v>212</v>
      </c>
      <c r="P2" s="467" t="s">
        <v>213</v>
      </c>
      <c r="Q2" s="467" t="s">
        <v>725</v>
      </c>
      <c r="R2" s="467" t="s">
        <v>53</v>
      </c>
      <c r="S2" s="467" t="s">
        <v>734</v>
      </c>
      <c r="T2" s="467" t="s">
        <v>737</v>
      </c>
      <c r="U2" s="467" t="s">
        <v>214</v>
      </c>
      <c r="V2" s="467" t="s">
        <v>740</v>
      </c>
      <c r="W2" s="639" t="s">
        <v>1181</v>
      </c>
    </row>
    <row r="3" spans="1:39" x14ac:dyDescent="0.2">
      <c r="A3" t="s">
        <v>335</v>
      </c>
      <c r="C3" t="s">
        <v>13</v>
      </c>
      <c r="D3" t="s">
        <v>14</v>
      </c>
      <c r="E3" t="s">
        <v>15</v>
      </c>
      <c r="F3" t="s">
        <v>16</v>
      </c>
      <c r="G3" t="s">
        <v>17</v>
      </c>
      <c r="H3" t="s">
        <v>18</v>
      </c>
      <c r="I3" t="s">
        <v>19</v>
      </c>
      <c r="J3" t="s">
        <v>20</v>
      </c>
      <c r="K3" t="s">
        <v>35</v>
      </c>
      <c r="L3" t="s">
        <v>210</v>
      </c>
      <c r="M3" t="s">
        <v>211</v>
      </c>
      <c r="N3" t="s">
        <v>45</v>
      </c>
      <c r="O3" t="s">
        <v>212</v>
      </c>
      <c r="P3" t="s">
        <v>213</v>
      </c>
      <c r="Q3" t="s">
        <v>725</v>
      </c>
      <c r="R3" t="s">
        <v>53</v>
      </c>
      <c r="S3" t="s">
        <v>734</v>
      </c>
      <c r="T3" t="s">
        <v>737</v>
      </c>
      <c r="U3" t="s">
        <v>214</v>
      </c>
      <c r="V3" t="s">
        <v>740</v>
      </c>
      <c r="W3" s="635" t="s">
        <v>773</v>
      </c>
      <c r="X3" s="635" t="s">
        <v>787</v>
      </c>
      <c r="Y3" s="635" t="s">
        <v>784</v>
      </c>
      <c r="Z3" s="635" t="s">
        <v>792</v>
      </c>
      <c r="AA3" s="635" t="s">
        <v>800</v>
      </c>
      <c r="AB3" s="635" t="s">
        <v>205</v>
      </c>
      <c r="AC3" s="635" t="s">
        <v>206</v>
      </c>
      <c r="AD3" s="635" t="s">
        <v>207</v>
      </c>
      <c r="AE3" s="635" t="s">
        <v>208</v>
      </c>
      <c r="AF3" s="635" t="s">
        <v>209</v>
      </c>
      <c r="AG3" s="635" t="s">
        <v>6</v>
      </c>
      <c r="AH3" s="635" t="s">
        <v>7</v>
      </c>
      <c r="AI3" s="635" t="s">
        <v>8</v>
      </c>
      <c r="AJ3" s="635" t="s">
        <v>9</v>
      </c>
      <c r="AK3" s="635" t="s">
        <v>10</v>
      </c>
      <c r="AL3" s="635" t="s">
        <v>240</v>
      </c>
      <c r="AM3" s="635" t="s">
        <v>12</v>
      </c>
    </row>
    <row r="4" spans="1:39" x14ac:dyDescent="0.2">
      <c r="A4" t="s">
        <v>1</v>
      </c>
      <c r="C4">
        <v>47</v>
      </c>
      <c r="D4">
        <v>48</v>
      </c>
      <c r="E4">
        <v>49</v>
      </c>
      <c r="F4">
        <v>50</v>
      </c>
      <c r="G4">
        <v>51</v>
      </c>
      <c r="H4">
        <v>52</v>
      </c>
      <c r="I4">
        <v>53</v>
      </c>
      <c r="J4">
        <v>54</v>
      </c>
      <c r="K4">
        <v>55</v>
      </c>
      <c r="L4">
        <v>56</v>
      </c>
      <c r="M4">
        <v>57</v>
      </c>
      <c r="N4">
        <v>58</v>
      </c>
      <c r="O4">
        <v>59</v>
      </c>
      <c r="P4">
        <v>60</v>
      </c>
      <c r="Q4">
        <v>61</v>
      </c>
      <c r="R4">
        <v>62</v>
      </c>
      <c r="S4">
        <v>63</v>
      </c>
      <c r="T4">
        <v>64</v>
      </c>
      <c r="U4">
        <v>65</v>
      </c>
      <c r="V4">
        <v>66</v>
      </c>
      <c r="W4" s="636">
        <v>30</v>
      </c>
      <c r="X4" s="636">
        <v>31</v>
      </c>
      <c r="Y4" s="636">
        <v>32</v>
      </c>
      <c r="Z4" s="636">
        <v>33</v>
      </c>
      <c r="AA4" s="636">
        <v>34</v>
      </c>
      <c r="AB4" s="636">
        <v>35</v>
      </c>
      <c r="AC4" s="636">
        <v>36</v>
      </c>
      <c r="AD4" s="636">
        <v>37</v>
      </c>
      <c r="AE4" s="636">
        <v>38</v>
      </c>
      <c r="AF4" s="636">
        <v>39</v>
      </c>
      <c r="AG4" s="636">
        <v>40</v>
      </c>
      <c r="AH4" s="636">
        <v>41</v>
      </c>
      <c r="AI4" s="636">
        <v>42</v>
      </c>
      <c r="AJ4" s="636">
        <v>43</v>
      </c>
      <c r="AK4" s="636">
        <v>44</v>
      </c>
      <c r="AL4" s="636">
        <v>45</v>
      </c>
      <c r="AM4" s="636">
        <v>46</v>
      </c>
    </row>
    <row r="6" spans="1:39" x14ac:dyDescent="0.2">
      <c r="A6" s="594" t="s">
        <v>905</v>
      </c>
      <c r="B6" s="595"/>
      <c r="C6" s="595"/>
      <c r="D6" s="595"/>
      <c r="E6" s="595"/>
      <c r="F6" s="595"/>
      <c r="G6" s="595"/>
      <c r="H6" s="595"/>
      <c r="I6" s="595"/>
      <c r="J6" s="595"/>
      <c r="K6" s="595"/>
      <c r="L6" s="595"/>
      <c r="M6" s="595"/>
      <c r="N6" s="595"/>
      <c r="O6" s="595"/>
      <c r="P6" s="595"/>
      <c r="Q6" s="595"/>
      <c r="R6" s="595"/>
      <c r="S6" s="595"/>
      <c r="T6" s="595"/>
      <c r="U6" s="595"/>
      <c r="V6" s="595"/>
    </row>
    <row r="7" spans="1:39" x14ac:dyDescent="0.2">
      <c r="A7" t="s">
        <v>215</v>
      </c>
      <c r="B7" t="s">
        <v>906</v>
      </c>
      <c r="C7" s="482">
        <f t="shared" ref="C7:V7" si="0">C18+C15+4</f>
        <v>22.785915543964347</v>
      </c>
      <c r="D7" s="482">
        <f t="shared" si="0"/>
        <v>21.815731653133149</v>
      </c>
      <c r="E7" s="482">
        <f t="shared" si="0"/>
        <v>20.9</v>
      </c>
      <c r="F7" s="482">
        <f t="shared" si="0"/>
        <v>20.035664415298079</v>
      </c>
      <c r="G7" s="482">
        <f t="shared" si="0"/>
        <v>19.219840259361227</v>
      </c>
      <c r="H7" s="482">
        <f t="shared" si="0"/>
        <v>18.449804794907202</v>
      </c>
      <c r="I7" s="482">
        <f t="shared" si="0"/>
        <v>17.722988100155135</v>
      </c>
      <c r="J7" s="482">
        <f t="shared" si="0"/>
        <v>17.036964491950449</v>
      </c>
      <c r="K7" s="482">
        <f t="shared" si="0"/>
        <v>16.389444430272832</v>
      </c>
      <c r="L7" s="482">
        <f t="shared" si="0"/>
        <v>15.778266877109264</v>
      </c>
      <c r="M7" s="482">
        <f t="shared" si="0"/>
        <v>15.201392084190523</v>
      </c>
      <c r="N7" s="482">
        <f t="shared" si="0"/>
        <v>14.656894785520951</v>
      </c>
      <c r="O7" s="482">
        <f t="shared" si="0"/>
        <v>14.142957771982172</v>
      </c>
      <c r="P7" s="482">
        <f t="shared" si="0"/>
        <v>13.657865826566571</v>
      </c>
      <c r="Q7" s="482">
        <f t="shared" si="0"/>
        <v>13.2</v>
      </c>
      <c r="R7" s="482">
        <f t="shared" si="0"/>
        <v>12.76783220764904</v>
      </c>
      <c r="S7" s="482">
        <f t="shared" si="0"/>
        <v>12.35992012968061</v>
      </c>
      <c r="T7" s="482">
        <f t="shared" si="0"/>
        <v>11.974902397453601</v>
      </c>
      <c r="U7" s="482">
        <f t="shared" si="0"/>
        <v>11.611494050077567</v>
      </c>
      <c r="V7" s="482">
        <f t="shared" si="0"/>
        <v>11.268482245975221</v>
      </c>
      <c r="W7" s="482">
        <v>1.0629999999999999</v>
      </c>
      <c r="X7" s="482">
        <v>1.0629999999999999</v>
      </c>
      <c r="Y7" s="482">
        <v>1.0629999999999999</v>
      </c>
      <c r="Z7" s="482">
        <v>1.0629999999999999</v>
      </c>
      <c r="AA7" s="482">
        <v>0.94499999999999995</v>
      </c>
      <c r="AB7" s="482">
        <v>0.94499999999999995</v>
      </c>
      <c r="AC7" s="482">
        <v>0.94499999999999995</v>
      </c>
      <c r="AD7" s="482">
        <v>0.94499999999999995</v>
      </c>
      <c r="AE7" s="482">
        <v>0.86599999999999999</v>
      </c>
      <c r="AF7" s="482">
        <v>0.86599999999999999</v>
      </c>
      <c r="AG7" s="482">
        <v>0.86599999999999999</v>
      </c>
      <c r="AH7" s="482">
        <v>0.86599999999999999</v>
      </c>
      <c r="AI7" s="482">
        <v>0.78700000000000003</v>
      </c>
      <c r="AJ7" s="482">
        <v>0.78700000000000003</v>
      </c>
      <c r="AK7" s="482">
        <v>0.78700000000000003</v>
      </c>
      <c r="AL7" s="482">
        <v>0.78700000000000003</v>
      </c>
      <c r="AM7" s="482">
        <v>0.78700000000000003</v>
      </c>
    </row>
    <row r="8" spans="1:39" x14ac:dyDescent="0.2">
      <c r="A8" t="s">
        <v>216</v>
      </c>
      <c r="B8" t="s">
        <v>906</v>
      </c>
      <c r="C8" s="482">
        <f t="shared" ref="C8:V8" si="1">C10+2*C11+0.25</f>
        <v>1.5089999999999999</v>
      </c>
      <c r="D8" s="482">
        <f t="shared" si="1"/>
        <v>1.5089999999999999</v>
      </c>
      <c r="E8" s="482">
        <f t="shared" si="1"/>
        <v>1.5089999999999999</v>
      </c>
      <c r="F8" s="482">
        <f t="shared" si="1"/>
        <v>1.5089999999999999</v>
      </c>
      <c r="G8" s="482">
        <f t="shared" si="1"/>
        <v>1.353</v>
      </c>
      <c r="H8" s="482">
        <f t="shared" si="1"/>
        <v>1.353</v>
      </c>
      <c r="I8" s="482">
        <f t="shared" si="1"/>
        <v>1.353</v>
      </c>
      <c r="J8" s="482">
        <f t="shared" si="1"/>
        <v>1.353</v>
      </c>
      <c r="K8" s="482">
        <f t="shared" si="1"/>
        <v>1.234</v>
      </c>
      <c r="L8" s="482">
        <f t="shared" si="1"/>
        <v>1.234</v>
      </c>
      <c r="M8" s="482">
        <f t="shared" si="1"/>
        <v>1.234</v>
      </c>
      <c r="N8" s="482">
        <f t="shared" si="1"/>
        <v>1.234</v>
      </c>
      <c r="O8" s="482">
        <f t="shared" si="1"/>
        <v>1.115</v>
      </c>
      <c r="P8" s="482">
        <f t="shared" si="1"/>
        <v>1.115</v>
      </c>
      <c r="Q8" s="482">
        <f t="shared" si="1"/>
        <v>1.115</v>
      </c>
      <c r="R8" s="482">
        <f t="shared" si="1"/>
        <v>1.115</v>
      </c>
      <c r="S8" s="482">
        <f t="shared" si="1"/>
        <v>0.998</v>
      </c>
      <c r="T8" s="482">
        <f t="shared" si="1"/>
        <v>0.998</v>
      </c>
      <c r="U8" s="482">
        <f t="shared" si="1"/>
        <v>0.998</v>
      </c>
      <c r="V8" s="482">
        <f t="shared" si="1"/>
        <v>0.998</v>
      </c>
      <c r="W8" s="482">
        <v>0.27600000000000002</v>
      </c>
      <c r="X8" s="482">
        <v>0.27600000000000002</v>
      </c>
      <c r="Y8" s="482">
        <v>0.27600000000000002</v>
      </c>
      <c r="Z8" s="482">
        <v>0.27600000000000002</v>
      </c>
      <c r="AA8" s="482">
        <v>0.23599999999999999</v>
      </c>
      <c r="AB8" s="482">
        <v>0.23599999999999999</v>
      </c>
      <c r="AC8" s="482">
        <v>0.23599999999999999</v>
      </c>
      <c r="AD8" s="482">
        <v>0.23599999999999999</v>
      </c>
      <c r="AE8" s="482">
        <v>0.19700000000000001</v>
      </c>
      <c r="AF8" s="482">
        <v>0.19700000000000001</v>
      </c>
      <c r="AG8" s="482">
        <v>0.19700000000000001</v>
      </c>
      <c r="AH8" s="482">
        <v>0.19700000000000001</v>
      </c>
      <c r="AI8" s="482">
        <v>0.17699999999999999</v>
      </c>
      <c r="AJ8" s="482">
        <v>0.17699999999999999</v>
      </c>
      <c r="AK8" s="482">
        <v>0.17699999999999999</v>
      </c>
      <c r="AL8" s="482">
        <v>0.17699999999999999</v>
      </c>
      <c r="AM8" s="482">
        <v>0.17699999999999999</v>
      </c>
    </row>
    <row r="9" spans="1:39" x14ac:dyDescent="0.2">
      <c r="A9" t="s">
        <v>217</v>
      </c>
      <c r="B9" t="s">
        <v>906</v>
      </c>
      <c r="C9" s="482">
        <f t="shared" ref="C9:V9" si="2">(C10+2*C11)/2+0.125</f>
        <v>0.75449999999999995</v>
      </c>
      <c r="D9" s="482">
        <f t="shared" si="2"/>
        <v>0.75449999999999995</v>
      </c>
      <c r="E9" s="482">
        <f t="shared" si="2"/>
        <v>0.75449999999999995</v>
      </c>
      <c r="F9" s="482">
        <f t="shared" si="2"/>
        <v>0.75449999999999995</v>
      </c>
      <c r="G9" s="482">
        <f t="shared" si="2"/>
        <v>0.67649999999999999</v>
      </c>
      <c r="H9" s="482">
        <f t="shared" si="2"/>
        <v>0.67649999999999999</v>
      </c>
      <c r="I9" s="482">
        <f t="shared" si="2"/>
        <v>0.67649999999999999</v>
      </c>
      <c r="J9" s="482">
        <f t="shared" si="2"/>
        <v>0.67649999999999999</v>
      </c>
      <c r="K9" s="482">
        <f t="shared" si="2"/>
        <v>0.61699999999999999</v>
      </c>
      <c r="L9" s="482">
        <f t="shared" si="2"/>
        <v>0.61699999999999999</v>
      </c>
      <c r="M9" s="482">
        <f t="shared" si="2"/>
        <v>0.61699999999999999</v>
      </c>
      <c r="N9" s="482">
        <f t="shared" si="2"/>
        <v>0.61699999999999999</v>
      </c>
      <c r="O9" s="482">
        <f t="shared" si="2"/>
        <v>0.5575</v>
      </c>
      <c r="P9" s="482">
        <f t="shared" si="2"/>
        <v>0.5575</v>
      </c>
      <c r="Q9" s="482">
        <f t="shared" si="2"/>
        <v>0.5575</v>
      </c>
      <c r="R9" s="482">
        <f t="shared" si="2"/>
        <v>0.5575</v>
      </c>
      <c r="S9" s="482">
        <f t="shared" si="2"/>
        <v>0.499</v>
      </c>
      <c r="T9" s="482">
        <f t="shared" si="2"/>
        <v>0.499</v>
      </c>
      <c r="U9" s="482">
        <f t="shared" si="2"/>
        <v>0.499</v>
      </c>
      <c r="V9" s="482">
        <f t="shared" si="2"/>
        <v>0.499</v>
      </c>
      <c r="W9" s="482">
        <f t="shared" ref="W9:AM9" si="3">W7+2*W8</f>
        <v>1.615</v>
      </c>
      <c r="X9" s="482">
        <f t="shared" si="3"/>
        <v>1.615</v>
      </c>
      <c r="Y9" s="482">
        <f t="shared" si="3"/>
        <v>1.615</v>
      </c>
      <c r="Z9" s="482">
        <f t="shared" si="3"/>
        <v>1.615</v>
      </c>
      <c r="AA9" s="482">
        <f t="shared" si="3"/>
        <v>1.4169999999999998</v>
      </c>
      <c r="AB9" s="482">
        <f t="shared" si="3"/>
        <v>1.4169999999999998</v>
      </c>
      <c r="AC9" s="482">
        <f t="shared" si="3"/>
        <v>1.4169999999999998</v>
      </c>
      <c r="AD9" s="482">
        <f t="shared" si="3"/>
        <v>1.4169999999999998</v>
      </c>
      <c r="AE9" s="482">
        <f t="shared" si="3"/>
        <v>1.26</v>
      </c>
      <c r="AF9" s="482">
        <f t="shared" si="3"/>
        <v>1.26</v>
      </c>
      <c r="AG9" s="482">
        <f t="shared" si="3"/>
        <v>1.26</v>
      </c>
      <c r="AH9" s="482">
        <f t="shared" si="3"/>
        <v>1.26</v>
      </c>
      <c r="AI9" s="482">
        <f t="shared" si="3"/>
        <v>1.141</v>
      </c>
      <c r="AJ9" s="482">
        <f t="shared" si="3"/>
        <v>1.141</v>
      </c>
      <c r="AK9" s="482">
        <f t="shared" si="3"/>
        <v>1.141</v>
      </c>
      <c r="AL9" s="482">
        <f t="shared" si="3"/>
        <v>1.141</v>
      </c>
      <c r="AM9" s="482">
        <f t="shared" si="3"/>
        <v>1.141</v>
      </c>
    </row>
    <row r="10" spans="1:39" x14ac:dyDescent="0.2">
      <c r="A10" t="s">
        <v>80</v>
      </c>
      <c r="B10" t="s">
        <v>906</v>
      </c>
      <c r="C10" s="483">
        <v>0.78700000000000003</v>
      </c>
      <c r="D10" s="483">
        <v>0.78700000000000003</v>
      </c>
      <c r="E10" s="483">
        <v>0.78700000000000003</v>
      </c>
      <c r="F10" s="483">
        <v>0.78700000000000003</v>
      </c>
      <c r="G10" s="483">
        <v>0.70899999999999996</v>
      </c>
      <c r="H10" s="483">
        <v>0.70899999999999996</v>
      </c>
      <c r="I10" s="483">
        <v>0.70899999999999996</v>
      </c>
      <c r="J10" s="483">
        <v>0.70899999999999996</v>
      </c>
      <c r="K10" s="483">
        <v>0.63</v>
      </c>
      <c r="L10" s="483">
        <v>0.63</v>
      </c>
      <c r="M10" s="483">
        <v>0.63</v>
      </c>
      <c r="N10" s="483">
        <v>0.63</v>
      </c>
      <c r="O10" s="483">
        <v>0.55100000000000005</v>
      </c>
      <c r="P10" s="483">
        <v>0.55100000000000005</v>
      </c>
      <c r="Q10" s="483">
        <v>0.55100000000000005</v>
      </c>
      <c r="R10" s="483">
        <v>0.55100000000000005</v>
      </c>
      <c r="S10" s="483">
        <v>0.47199999999999998</v>
      </c>
      <c r="T10" s="483">
        <v>0.47199999999999998</v>
      </c>
      <c r="U10" s="483">
        <v>0.47199999999999998</v>
      </c>
      <c r="V10" s="483">
        <v>0.47199999999999998</v>
      </c>
      <c r="W10" s="482">
        <f t="shared" ref="W10:AM10" si="4">(W7+2*W8)/2</f>
        <v>0.8075</v>
      </c>
      <c r="X10" s="482">
        <f t="shared" si="4"/>
        <v>0.8075</v>
      </c>
      <c r="Y10" s="482">
        <f t="shared" si="4"/>
        <v>0.8075</v>
      </c>
      <c r="Z10" s="482">
        <f t="shared" si="4"/>
        <v>0.8075</v>
      </c>
      <c r="AA10" s="482">
        <f t="shared" si="4"/>
        <v>0.70849999999999991</v>
      </c>
      <c r="AB10" s="482">
        <f t="shared" si="4"/>
        <v>0.70849999999999991</v>
      </c>
      <c r="AC10" s="482">
        <f t="shared" si="4"/>
        <v>0.70849999999999991</v>
      </c>
      <c r="AD10" s="482">
        <f t="shared" si="4"/>
        <v>0.70849999999999991</v>
      </c>
      <c r="AE10" s="482">
        <f t="shared" si="4"/>
        <v>0.63</v>
      </c>
      <c r="AF10" s="482">
        <f t="shared" si="4"/>
        <v>0.63</v>
      </c>
      <c r="AG10" s="482">
        <f t="shared" si="4"/>
        <v>0.63</v>
      </c>
      <c r="AH10" s="482">
        <f t="shared" si="4"/>
        <v>0.63</v>
      </c>
      <c r="AI10" s="482">
        <f t="shared" si="4"/>
        <v>0.57050000000000001</v>
      </c>
      <c r="AJ10" s="482">
        <f t="shared" si="4"/>
        <v>0.57050000000000001</v>
      </c>
      <c r="AK10" s="482">
        <f t="shared" si="4"/>
        <v>0.57050000000000001</v>
      </c>
      <c r="AL10" s="482">
        <f t="shared" si="4"/>
        <v>0.57050000000000001</v>
      </c>
      <c r="AM10" s="482">
        <f t="shared" si="4"/>
        <v>0.57050000000000001</v>
      </c>
    </row>
    <row r="11" spans="1:39" x14ac:dyDescent="0.2">
      <c r="A11" t="s">
        <v>226</v>
      </c>
      <c r="B11" t="s">
        <v>906</v>
      </c>
      <c r="C11" s="483">
        <v>0.23599999999999999</v>
      </c>
      <c r="D11" s="483">
        <v>0.23599999999999999</v>
      </c>
      <c r="E11" s="483">
        <v>0.23599999999999999</v>
      </c>
      <c r="F11" s="483">
        <v>0.23599999999999999</v>
      </c>
      <c r="G11" s="483">
        <v>0.19700000000000001</v>
      </c>
      <c r="H11" s="483">
        <v>0.19700000000000001</v>
      </c>
      <c r="I11" s="483">
        <v>0.19700000000000001</v>
      </c>
      <c r="J11" s="483">
        <v>0.19700000000000001</v>
      </c>
      <c r="K11" s="483">
        <v>0.17699999999999999</v>
      </c>
      <c r="L11" s="483">
        <v>0.17699999999999999</v>
      </c>
      <c r="M11" s="483">
        <v>0.17699999999999999</v>
      </c>
      <c r="N11" s="483">
        <v>0.17699999999999999</v>
      </c>
      <c r="O11" s="483">
        <v>0.157</v>
      </c>
      <c r="P11" s="483">
        <v>0.157</v>
      </c>
      <c r="Q11" s="483">
        <v>0.157</v>
      </c>
      <c r="R11" s="483">
        <v>0.157</v>
      </c>
      <c r="S11" s="483">
        <v>0.13800000000000001</v>
      </c>
      <c r="T11" s="483">
        <v>0.13800000000000001</v>
      </c>
      <c r="U11" s="483">
        <v>0.13800000000000001</v>
      </c>
      <c r="V11" s="483">
        <v>0.13800000000000001</v>
      </c>
      <c r="W11" s="482">
        <f t="shared" ref="W11:AM11" si="5">0.6*W7</f>
        <v>0.63779999999999992</v>
      </c>
      <c r="X11" s="482">
        <f t="shared" si="5"/>
        <v>0.63779999999999992</v>
      </c>
      <c r="Y11" s="482">
        <f t="shared" si="5"/>
        <v>0.63779999999999992</v>
      </c>
      <c r="Z11" s="482">
        <f t="shared" si="5"/>
        <v>0.63779999999999992</v>
      </c>
      <c r="AA11" s="482">
        <f t="shared" si="5"/>
        <v>0.56699999999999995</v>
      </c>
      <c r="AB11" s="482">
        <f t="shared" si="5"/>
        <v>0.56699999999999995</v>
      </c>
      <c r="AC11" s="482">
        <f t="shared" si="5"/>
        <v>0.56699999999999995</v>
      </c>
      <c r="AD11" s="482">
        <f t="shared" si="5"/>
        <v>0.56699999999999995</v>
      </c>
      <c r="AE11" s="482">
        <f t="shared" si="5"/>
        <v>0.51959999999999995</v>
      </c>
      <c r="AF11" s="482">
        <f t="shared" si="5"/>
        <v>0.51959999999999995</v>
      </c>
      <c r="AG11" s="482">
        <f t="shared" si="5"/>
        <v>0.51959999999999995</v>
      </c>
      <c r="AH11" s="482">
        <f t="shared" si="5"/>
        <v>0.51959999999999995</v>
      </c>
      <c r="AI11" s="482">
        <f t="shared" si="5"/>
        <v>0.47220000000000001</v>
      </c>
      <c r="AJ11" s="482">
        <f t="shared" si="5"/>
        <v>0.47220000000000001</v>
      </c>
      <c r="AK11" s="482">
        <f t="shared" si="5"/>
        <v>0.47220000000000001</v>
      </c>
      <c r="AL11" s="482">
        <f t="shared" si="5"/>
        <v>0.47220000000000001</v>
      </c>
      <c r="AM11" s="482">
        <f t="shared" si="5"/>
        <v>0.47220000000000001</v>
      </c>
    </row>
    <row r="12" spans="1:39" x14ac:dyDescent="0.2">
      <c r="A12" t="s">
        <v>907</v>
      </c>
      <c r="B12" t="s">
        <v>906</v>
      </c>
      <c r="C12" s="482">
        <f t="shared" ref="C12:V12" si="6">C10+2*C11</f>
        <v>1.2589999999999999</v>
      </c>
      <c r="D12" s="482">
        <f t="shared" si="6"/>
        <v>1.2589999999999999</v>
      </c>
      <c r="E12" s="482">
        <f t="shared" si="6"/>
        <v>1.2589999999999999</v>
      </c>
      <c r="F12" s="482">
        <f t="shared" si="6"/>
        <v>1.2589999999999999</v>
      </c>
      <c r="G12" s="482">
        <f t="shared" si="6"/>
        <v>1.103</v>
      </c>
      <c r="H12" s="482">
        <f t="shared" si="6"/>
        <v>1.103</v>
      </c>
      <c r="I12" s="482">
        <f t="shared" si="6"/>
        <v>1.103</v>
      </c>
      <c r="J12" s="482">
        <f t="shared" si="6"/>
        <v>1.103</v>
      </c>
      <c r="K12" s="482">
        <f t="shared" si="6"/>
        <v>0.98399999999999999</v>
      </c>
      <c r="L12" s="482">
        <f t="shared" si="6"/>
        <v>0.98399999999999999</v>
      </c>
      <c r="M12" s="482">
        <f t="shared" si="6"/>
        <v>0.98399999999999999</v>
      </c>
      <c r="N12" s="482">
        <f t="shared" si="6"/>
        <v>0.98399999999999999</v>
      </c>
      <c r="O12" s="482">
        <f t="shared" si="6"/>
        <v>0.86499999999999999</v>
      </c>
      <c r="P12" s="482">
        <f t="shared" si="6"/>
        <v>0.86499999999999999</v>
      </c>
      <c r="Q12" s="482">
        <f t="shared" si="6"/>
        <v>0.86499999999999999</v>
      </c>
      <c r="R12" s="482">
        <f t="shared" si="6"/>
        <v>0.86499999999999999</v>
      </c>
      <c r="S12" s="482">
        <f t="shared" si="6"/>
        <v>0.748</v>
      </c>
      <c r="T12" s="482">
        <f t="shared" si="6"/>
        <v>0.748</v>
      </c>
      <c r="U12" s="482">
        <f t="shared" si="6"/>
        <v>0.748</v>
      </c>
      <c r="V12" s="482">
        <f t="shared" si="6"/>
        <v>0.748</v>
      </c>
      <c r="W12" s="482">
        <f t="shared" ref="W12:AM12" si="7">0.2*W7</f>
        <v>0.21260000000000001</v>
      </c>
      <c r="X12" s="482">
        <f t="shared" si="7"/>
        <v>0.21260000000000001</v>
      </c>
      <c r="Y12" s="482">
        <f t="shared" si="7"/>
        <v>0.21260000000000001</v>
      </c>
      <c r="Z12" s="482">
        <f t="shared" si="7"/>
        <v>0.21260000000000001</v>
      </c>
      <c r="AA12" s="482">
        <f t="shared" si="7"/>
        <v>0.189</v>
      </c>
      <c r="AB12" s="482">
        <f t="shared" si="7"/>
        <v>0.189</v>
      </c>
      <c r="AC12" s="482">
        <f t="shared" si="7"/>
        <v>0.189</v>
      </c>
      <c r="AD12" s="482">
        <f t="shared" si="7"/>
        <v>0.189</v>
      </c>
      <c r="AE12" s="482">
        <f t="shared" si="7"/>
        <v>0.17320000000000002</v>
      </c>
      <c r="AF12" s="482">
        <f t="shared" si="7"/>
        <v>0.17320000000000002</v>
      </c>
      <c r="AG12" s="482">
        <f t="shared" si="7"/>
        <v>0.17320000000000002</v>
      </c>
      <c r="AH12" s="482">
        <f t="shared" si="7"/>
        <v>0.17320000000000002</v>
      </c>
      <c r="AI12" s="482">
        <f t="shared" si="7"/>
        <v>0.15740000000000001</v>
      </c>
      <c r="AJ12" s="482">
        <f t="shared" si="7"/>
        <v>0.15740000000000001</v>
      </c>
      <c r="AK12" s="482">
        <f t="shared" si="7"/>
        <v>0.15740000000000001</v>
      </c>
      <c r="AL12" s="482">
        <f t="shared" si="7"/>
        <v>0.15740000000000001</v>
      </c>
      <c r="AM12" s="482">
        <f t="shared" si="7"/>
        <v>0.15740000000000001</v>
      </c>
    </row>
    <row r="13" spans="1:39" x14ac:dyDescent="0.2">
      <c r="A13" t="s">
        <v>1084</v>
      </c>
      <c r="B13" t="s">
        <v>906</v>
      </c>
      <c r="C13" s="483">
        <v>0.47199999999999998</v>
      </c>
      <c r="D13" s="483">
        <v>0.47199999999999998</v>
      </c>
      <c r="E13" s="483">
        <v>0.47199999999999998</v>
      </c>
      <c r="F13" s="483">
        <v>0.47199999999999998</v>
      </c>
      <c r="G13" s="483">
        <v>0.433</v>
      </c>
      <c r="H13" s="483">
        <v>0.433</v>
      </c>
      <c r="I13" s="483">
        <v>0.433</v>
      </c>
      <c r="J13" s="483">
        <v>0.433</v>
      </c>
      <c r="K13" s="483">
        <v>0.39400000000000002</v>
      </c>
      <c r="L13" s="483">
        <v>0.39400000000000002</v>
      </c>
      <c r="M13" s="483">
        <v>0.39400000000000002</v>
      </c>
      <c r="N13" s="483">
        <v>0.39400000000000002</v>
      </c>
      <c r="O13" s="483">
        <v>0.35399999999999998</v>
      </c>
      <c r="P13" s="483">
        <v>0.35399999999999998</v>
      </c>
      <c r="Q13" s="483">
        <v>0.35399999999999998</v>
      </c>
      <c r="R13" s="483">
        <v>0.35399999999999998</v>
      </c>
      <c r="S13" s="483">
        <v>0.315</v>
      </c>
      <c r="T13" s="483">
        <v>0.315</v>
      </c>
      <c r="U13" s="483">
        <v>0.315</v>
      </c>
      <c r="V13" s="483">
        <v>0.315</v>
      </c>
      <c r="W13" s="637">
        <v>2.5</v>
      </c>
      <c r="X13" s="637">
        <v>2.5</v>
      </c>
      <c r="Y13" s="637">
        <v>2.5</v>
      </c>
      <c r="Z13" s="637">
        <v>2.5</v>
      </c>
      <c r="AA13" s="637">
        <v>2.5</v>
      </c>
      <c r="AB13" s="637">
        <v>2.5</v>
      </c>
      <c r="AC13" s="637">
        <v>2.5</v>
      </c>
      <c r="AD13" s="637">
        <v>2.5</v>
      </c>
      <c r="AE13" s="637">
        <v>2.5</v>
      </c>
      <c r="AF13" s="637">
        <v>2.5</v>
      </c>
      <c r="AG13" s="637">
        <v>2.5</v>
      </c>
      <c r="AH13" s="637">
        <v>2.5</v>
      </c>
      <c r="AI13" s="637">
        <v>2.5</v>
      </c>
      <c r="AJ13" s="637">
        <v>2.5</v>
      </c>
      <c r="AK13" s="637">
        <v>2.5</v>
      </c>
      <c r="AL13" s="637">
        <v>2.5</v>
      </c>
      <c r="AM13" s="637">
        <v>2.5</v>
      </c>
    </row>
    <row r="14" spans="1:39" x14ac:dyDescent="0.2">
      <c r="A14" t="s">
        <v>1085</v>
      </c>
      <c r="B14" t="s">
        <v>906</v>
      </c>
      <c r="C14" s="483">
        <v>0.157</v>
      </c>
      <c r="D14" s="483">
        <v>0.157</v>
      </c>
      <c r="E14" s="483">
        <v>0.157</v>
      </c>
      <c r="F14" s="483">
        <v>0.157</v>
      </c>
      <c r="G14" s="483">
        <v>0.13800000000000001</v>
      </c>
      <c r="H14" s="483">
        <v>0.13800000000000001</v>
      </c>
      <c r="I14" s="483">
        <v>0.13800000000000001</v>
      </c>
      <c r="J14" s="483">
        <v>0.13800000000000001</v>
      </c>
      <c r="K14" s="483">
        <v>0.11799999999999999</v>
      </c>
      <c r="L14" s="483">
        <v>0.11799999999999999</v>
      </c>
      <c r="M14" s="483">
        <v>0.11799999999999999</v>
      </c>
      <c r="N14" s="483">
        <v>0.11799999999999999</v>
      </c>
      <c r="O14" s="483">
        <v>9.8000000000000004E-2</v>
      </c>
      <c r="P14" s="483">
        <v>9.8000000000000004E-2</v>
      </c>
      <c r="Q14" s="483">
        <v>9.8000000000000004E-2</v>
      </c>
      <c r="R14" s="483">
        <v>9.8000000000000004E-2</v>
      </c>
      <c r="S14" s="483">
        <v>7.9000000000000001E-2</v>
      </c>
      <c r="T14" s="483">
        <v>7.9000000000000001E-2</v>
      </c>
      <c r="U14" s="483">
        <v>7.9000000000000001E-2</v>
      </c>
      <c r="V14" s="483">
        <v>7.9000000000000001E-2</v>
      </c>
    </row>
    <row r="15" spans="1:39" x14ac:dyDescent="0.2">
      <c r="A15" t="s">
        <v>223</v>
      </c>
      <c r="B15" t="s">
        <v>906</v>
      </c>
      <c r="C15" s="483">
        <v>1.5</v>
      </c>
      <c r="D15" s="483">
        <v>1.5</v>
      </c>
      <c r="E15" s="483">
        <v>1.5</v>
      </c>
      <c r="F15" s="483">
        <v>1.5</v>
      </c>
      <c r="G15" s="483">
        <v>1.5</v>
      </c>
      <c r="H15" s="483">
        <v>1.5</v>
      </c>
      <c r="I15" s="483">
        <v>1.5</v>
      </c>
      <c r="J15" s="483">
        <v>1.5</v>
      </c>
      <c r="K15" s="483">
        <v>1.5</v>
      </c>
      <c r="L15" s="483">
        <v>1.5</v>
      </c>
      <c r="M15" s="483">
        <v>1.5</v>
      </c>
      <c r="N15" s="483">
        <v>1.5</v>
      </c>
      <c r="O15" s="483">
        <v>1.5</v>
      </c>
      <c r="P15" s="483">
        <v>1.5</v>
      </c>
      <c r="Q15" s="483">
        <v>1.5</v>
      </c>
      <c r="R15" s="483">
        <v>1.5</v>
      </c>
      <c r="S15" s="483">
        <v>1.5</v>
      </c>
      <c r="T15" s="483">
        <v>1.5</v>
      </c>
      <c r="U15" s="483">
        <v>1.5</v>
      </c>
      <c r="V15" s="483">
        <v>1.5</v>
      </c>
    </row>
    <row r="17" spans="1:39" x14ac:dyDescent="0.2">
      <c r="A17" s="594" t="s">
        <v>910</v>
      </c>
      <c r="B17" s="595"/>
      <c r="C17" s="595"/>
      <c r="D17" s="595"/>
      <c r="E17" s="595"/>
      <c r="F17" s="595"/>
      <c r="G17" s="595"/>
      <c r="H17" s="595"/>
      <c r="I17" s="595"/>
      <c r="J17" s="595"/>
      <c r="K17" s="595"/>
      <c r="L17" s="595"/>
      <c r="M17" s="595"/>
      <c r="N17" s="595"/>
      <c r="O17" s="595"/>
      <c r="P17" s="595"/>
      <c r="Q17" s="595"/>
      <c r="R17" s="595"/>
      <c r="S17" s="595"/>
      <c r="T17" s="595"/>
      <c r="U17" s="595"/>
      <c r="V17" s="595"/>
    </row>
    <row r="18" spans="1:39" x14ac:dyDescent="0.2">
      <c r="A18" t="s">
        <v>234</v>
      </c>
      <c r="B18" t="s">
        <v>906</v>
      </c>
      <c r="C18" s="469">
        <f t="shared" ref="C18:V18" si="8">13552/(2*C25)</f>
        <v>17.285915543964347</v>
      </c>
      <c r="D18" s="469">
        <f t="shared" si="8"/>
        <v>16.315731653133149</v>
      </c>
      <c r="E18" s="469">
        <f t="shared" si="8"/>
        <v>15.4</v>
      </c>
      <c r="F18" s="469">
        <f t="shared" si="8"/>
        <v>14.535664415298079</v>
      </c>
      <c r="G18" s="469">
        <f t="shared" si="8"/>
        <v>13.719840259361225</v>
      </c>
      <c r="H18" s="469">
        <f t="shared" si="8"/>
        <v>12.949804794907202</v>
      </c>
      <c r="I18" s="469">
        <f t="shared" si="8"/>
        <v>12.222988100155137</v>
      </c>
      <c r="J18" s="469">
        <f t="shared" si="8"/>
        <v>11.536964491950448</v>
      </c>
      <c r="K18" s="469">
        <f t="shared" si="8"/>
        <v>10.889444430272832</v>
      </c>
      <c r="L18" s="469">
        <f t="shared" si="8"/>
        <v>10.278266877109264</v>
      </c>
      <c r="M18" s="469">
        <f t="shared" si="8"/>
        <v>9.7013920841905232</v>
      </c>
      <c r="N18" s="469">
        <f t="shared" si="8"/>
        <v>9.1568947855209508</v>
      </c>
      <c r="O18" s="469">
        <f t="shared" si="8"/>
        <v>8.6429577719821715</v>
      </c>
      <c r="P18" s="469">
        <f t="shared" si="8"/>
        <v>8.1578658265665709</v>
      </c>
      <c r="Q18" s="469">
        <f t="shared" si="8"/>
        <v>7.7</v>
      </c>
      <c r="R18" s="469">
        <f t="shared" si="8"/>
        <v>7.2678322076490396</v>
      </c>
      <c r="S18" s="469">
        <f t="shared" si="8"/>
        <v>6.8599201296806109</v>
      </c>
      <c r="T18" s="469">
        <f t="shared" si="8"/>
        <v>6.4749023974536009</v>
      </c>
      <c r="U18" s="469">
        <f t="shared" si="8"/>
        <v>6.1114940500775674</v>
      </c>
      <c r="V18" s="469">
        <f t="shared" si="8"/>
        <v>5.7684822459752221</v>
      </c>
      <c r="W18" s="482">
        <f t="shared" ref="W18:AM18" si="9">13552/(2*((2^(1/12))^(W4-49))*440)</f>
        <v>46.147857967801805</v>
      </c>
      <c r="X18" s="482">
        <f t="shared" si="9"/>
        <v>43.557777721091341</v>
      </c>
      <c r="Y18" s="482">
        <f t="shared" si="9"/>
        <v>41.113067508437069</v>
      </c>
      <c r="Z18" s="482">
        <f t="shared" si="9"/>
        <v>38.8055683367621</v>
      </c>
      <c r="AA18" s="482">
        <f t="shared" si="9"/>
        <v>36.627579142083817</v>
      </c>
      <c r="AB18" s="482">
        <f t="shared" si="9"/>
        <v>34.571831087928693</v>
      </c>
      <c r="AC18" s="482">
        <f t="shared" si="9"/>
        <v>32.631463306266298</v>
      </c>
      <c r="AD18" s="482">
        <f t="shared" si="9"/>
        <v>30.8</v>
      </c>
      <c r="AE18" s="482">
        <f t="shared" si="9"/>
        <v>29.071328830596165</v>
      </c>
      <c r="AF18" s="482">
        <f t="shared" si="9"/>
        <v>27.439680518722454</v>
      </c>
      <c r="AG18" s="482">
        <f t="shared" si="9"/>
        <v>25.899609589814411</v>
      </c>
      <c r="AH18" s="482">
        <f t="shared" si="9"/>
        <v>24.445976200310273</v>
      </c>
      <c r="AI18" s="482">
        <f t="shared" si="9"/>
        <v>23.073928983900899</v>
      </c>
      <c r="AJ18" s="482">
        <f t="shared" si="9"/>
        <v>21.778888860545667</v>
      </c>
      <c r="AK18" s="482">
        <f t="shared" si="9"/>
        <v>20.556533754218531</v>
      </c>
      <c r="AL18" s="482">
        <f t="shared" si="9"/>
        <v>19.402784168381046</v>
      </c>
      <c r="AM18" s="482">
        <f t="shared" si="9"/>
        <v>18.313789571041909</v>
      </c>
    </row>
    <row r="19" spans="1:39" x14ac:dyDescent="0.2">
      <c r="A19" t="s">
        <v>1086</v>
      </c>
      <c r="B19" t="s">
        <v>906</v>
      </c>
      <c r="C19" s="469">
        <f t="shared" ref="C19:V19" si="10">0.6*(C10/2)</f>
        <v>0.2361</v>
      </c>
      <c r="D19" s="469">
        <f t="shared" si="10"/>
        <v>0.2361</v>
      </c>
      <c r="E19" s="469">
        <f t="shared" si="10"/>
        <v>0.2361</v>
      </c>
      <c r="F19" s="469">
        <f t="shared" si="10"/>
        <v>0.2361</v>
      </c>
      <c r="G19" s="469">
        <f t="shared" si="10"/>
        <v>0.21269999999999997</v>
      </c>
      <c r="H19" s="469">
        <f t="shared" si="10"/>
        <v>0.21269999999999997</v>
      </c>
      <c r="I19" s="469">
        <f t="shared" si="10"/>
        <v>0.21269999999999997</v>
      </c>
      <c r="J19" s="469">
        <f t="shared" si="10"/>
        <v>0.21269999999999997</v>
      </c>
      <c r="K19" s="469">
        <f t="shared" si="10"/>
        <v>0.189</v>
      </c>
      <c r="L19" s="469">
        <f t="shared" si="10"/>
        <v>0.189</v>
      </c>
      <c r="M19" s="469">
        <f t="shared" si="10"/>
        <v>0.189</v>
      </c>
      <c r="N19" s="469">
        <f t="shared" si="10"/>
        <v>0.189</v>
      </c>
      <c r="O19" s="469">
        <f t="shared" si="10"/>
        <v>0.1653</v>
      </c>
      <c r="P19" s="469">
        <f t="shared" si="10"/>
        <v>0.1653</v>
      </c>
      <c r="Q19" s="469">
        <f t="shared" si="10"/>
        <v>0.1653</v>
      </c>
      <c r="R19" s="469">
        <f t="shared" si="10"/>
        <v>0.1653</v>
      </c>
      <c r="S19" s="469">
        <f t="shared" si="10"/>
        <v>0.14159999999999998</v>
      </c>
      <c r="T19" s="469">
        <f t="shared" si="10"/>
        <v>0.14159999999999998</v>
      </c>
      <c r="U19" s="469">
        <f t="shared" si="10"/>
        <v>0.14159999999999998</v>
      </c>
      <c r="V19" s="469">
        <f t="shared" si="10"/>
        <v>0.14159999999999998</v>
      </c>
      <c r="W19" s="482">
        <f t="shared" ref="W19:AM19" si="11">0.6*(W7/2)</f>
        <v>0.31889999999999996</v>
      </c>
      <c r="X19" s="482">
        <f t="shared" si="11"/>
        <v>0.31889999999999996</v>
      </c>
      <c r="Y19" s="482">
        <f t="shared" si="11"/>
        <v>0.31889999999999996</v>
      </c>
      <c r="Z19" s="482">
        <f t="shared" si="11"/>
        <v>0.31889999999999996</v>
      </c>
      <c r="AA19" s="482">
        <f t="shared" si="11"/>
        <v>0.28349999999999997</v>
      </c>
      <c r="AB19" s="482">
        <f t="shared" si="11"/>
        <v>0.28349999999999997</v>
      </c>
      <c r="AC19" s="482">
        <f t="shared" si="11"/>
        <v>0.28349999999999997</v>
      </c>
      <c r="AD19" s="482">
        <f t="shared" si="11"/>
        <v>0.28349999999999997</v>
      </c>
      <c r="AE19" s="482">
        <f t="shared" si="11"/>
        <v>0.25979999999999998</v>
      </c>
      <c r="AF19" s="482">
        <f t="shared" si="11"/>
        <v>0.25979999999999998</v>
      </c>
      <c r="AG19" s="482">
        <f t="shared" si="11"/>
        <v>0.25979999999999998</v>
      </c>
      <c r="AH19" s="482">
        <f t="shared" si="11"/>
        <v>0.25979999999999998</v>
      </c>
      <c r="AI19" s="482">
        <f t="shared" si="11"/>
        <v>0.2361</v>
      </c>
      <c r="AJ19" s="482">
        <f t="shared" si="11"/>
        <v>0.2361</v>
      </c>
      <c r="AK19" s="482">
        <f t="shared" si="11"/>
        <v>0.2361</v>
      </c>
      <c r="AL19" s="482">
        <f t="shared" si="11"/>
        <v>0.2361</v>
      </c>
      <c r="AM19" s="482">
        <f t="shared" si="11"/>
        <v>0.2361</v>
      </c>
    </row>
    <row r="20" spans="1:39" x14ac:dyDescent="0.2">
      <c r="A20" t="s">
        <v>912</v>
      </c>
      <c r="B20" t="s">
        <v>906</v>
      </c>
      <c r="C20" s="469">
        <f t="shared" ref="C20:V20" si="12">C18+2*C19</f>
        <v>17.758115543964347</v>
      </c>
      <c r="D20" s="469">
        <f t="shared" si="12"/>
        <v>16.78793165313315</v>
      </c>
      <c r="E20" s="469">
        <f t="shared" si="12"/>
        <v>15.872200000000001</v>
      </c>
      <c r="F20" s="469">
        <f t="shared" si="12"/>
        <v>15.00786441529808</v>
      </c>
      <c r="G20" s="469">
        <f t="shared" si="12"/>
        <v>14.145240259361225</v>
      </c>
      <c r="H20" s="469">
        <f t="shared" si="12"/>
        <v>13.375204794907201</v>
      </c>
      <c r="I20" s="469">
        <f t="shared" si="12"/>
        <v>12.648388100155136</v>
      </c>
      <c r="J20" s="469">
        <f t="shared" si="12"/>
        <v>11.962364491950447</v>
      </c>
      <c r="K20" s="469">
        <f t="shared" si="12"/>
        <v>11.267444430272832</v>
      </c>
      <c r="L20" s="469">
        <f t="shared" si="12"/>
        <v>10.656266877109264</v>
      </c>
      <c r="M20" s="469">
        <f t="shared" si="12"/>
        <v>10.079392084190523</v>
      </c>
      <c r="N20" s="469">
        <f t="shared" si="12"/>
        <v>9.5348947855209509</v>
      </c>
      <c r="O20" s="469">
        <f t="shared" si="12"/>
        <v>8.973557771982172</v>
      </c>
      <c r="P20" s="469">
        <f t="shared" si="12"/>
        <v>8.4884658265665713</v>
      </c>
      <c r="Q20" s="469">
        <f t="shared" si="12"/>
        <v>8.0305999999999997</v>
      </c>
      <c r="R20" s="469">
        <f t="shared" si="12"/>
        <v>7.59843220764904</v>
      </c>
      <c r="S20" s="469">
        <f t="shared" si="12"/>
        <v>7.1431201296806108</v>
      </c>
      <c r="T20" s="469">
        <f t="shared" si="12"/>
        <v>6.7581023974536008</v>
      </c>
      <c r="U20" s="469">
        <f t="shared" si="12"/>
        <v>6.3946940500775673</v>
      </c>
      <c r="V20" s="469">
        <f t="shared" si="12"/>
        <v>6.051682245975222</v>
      </c>
    </row>
    <row r="21" spans="1:39" x14ac:dyDescent="0.2">
      <c r="A21" t="s">
        <v>913</v>
      </c>
      <c r="B21" t="s">
        <v>914</v>
      </c>
      <c r="C21">
        <v>13552</v>
      </c>
      <c r="D21">
        <v>13552</v>
      </c>
      <c r="E21">
        <v>13552</v>
      </c>
      <c r="F21">
        <v>13552</v>
      </c>
      <c r="G21">
        <v>13552</v>
      </c>
      <c r="H21">
        <v>13552</v>
      </c>
      <c r="I21">
        <v>13552</v>
      </c>
      <c r="J21">
        <v>13552</v>
      </c>
      <c r="K21">
        <v>13552</v>
      </c>
      <c r="L21">
        <v>13552</v>
      </c>
      <c r="M21">
        <v>13552</v>
      </c>
      <c r="N21">
        <v>13552</v>
      </c>
      <c r="O21">
        <v>13552</v>
      </c>
      <c r="P21">
        <v>13552</v>
      </c>
      <c r="Q21">
        <v>13552</v>
      </c>
      <c r="R21">
        <v>13552</v>
      </c>
      <c r="S21">
        <v>13552</v>
      </c>
      <c r="T21">
        <v>13552</v>
      </c>
      <c r="U21">
        <v>13552</v>
      </c>
      <c r="V21">
        <v>13552</v>
      </c>
    </row>
    <row r="23" spans="1:39" x14ac:dyDescent="0.2">
      <c r="A23" s="594" t="s">
        <v>1087</v>
      </c>
      <c r="B23" s="595"/>
      <c r="C23" s="595"/>
      <c r="D23" s="595"/>
      <c r="E23" s="595"/>
      <c r="F23" s="595"/>
      <c r="G23" s="595"/>
      <c r="H23" s="595"/>
      <c r="I23" s="595"/>
      <c r="J23" s="595"/>
      <c r="K23" s="595"/>
      <c r="L23" s="595"/>
      <c r="M23" s="595"/>
      <c r="N23" s="595"/>
      <c r="O23" s="595"/>
      <c r="P23" s="595"/>
      <c r="Q23" s="595"/>
      <c r="R23" s="595"/>
      <c r="S23" s="595"/>
      <c r="T23" s="595"/>
      <c r="U23" s="595"/>
      <c r="V23" s="595"/>
    </row>
    <row r="24" spans="1:39" x14ac:dyDescent="0.2">
      <c r="A24" t="s">
        <v>239</v>
      </c>
      <c r="C24" t="s">
        <v>13</v>
      </c>
      <c r="D24" t="s">
        <v>14</v>
      </c>
      <c r="E24" t="s">
        <v>15</v>
      </c>
      <c r="F24" t="s">
        <v>16</v>
      </c>
      <c r="G24" t="s">
        <v>17</v>
      </c>
      <c r="H24" t="s">
        <v>18</v>
      </c>
      <c r="I24" t="s">
        <v>19</v>
      </c>
      <c r="J24" t="s">
        <v>20</v>
      </c>
      <c r="K24" t="s">
        <v>35</v>
      </c>
      <c r="L24" t="s">
        <v>210</v>
      </c>
      <c r="M24" t="s">
        <v>211</v>
      </c>
      <c r="N24" t="s">
        <v>45</v>
      </c>
      <c r="O24" t="s">
        <v>212</v>
      </c>
      <c r="P24" t="s">
        <v>213</v>
      </c>
      <c r="Q24" t="s">
        <v>725</v>
      </c>
      <c r="R24" t="s">
        <v>53</v>
      </c>
      <c r="S24" t="s">
        <v>734</v>
      </c>
      <c r="T24" t="s">
        <v>737</v>
      </c>
      <c r="U24" t="s">
        <v>214</v>
      </c>
      <c r="V24" t="s">
        <v>740</v>
      </c>
      <c r="W24" s="472" t="s">
        <v>773</v>
      </c>
      <c r="X24" s="472" t="s">
        <v>787</v>
      </c>
      <c r="Y24" s="472" t="s">
        <v>784</v>
      </c>
      <c r="Z24" s="472" t="s">
        <v>792</v>
      </c>
      <c r="AA24" s="472" t="s">
        <v>800</v>
      </c>
      <c r="AB24" s="472" t="s">
        <v>205</v>
      </c>
      <c r="AC24" s="472" t="s">
        <v>206</v>
      </c>
      <c r="AD24" s="472" t="s">
        <v>207</v>
      </c>
      <c r="AE24" s="472" t="s">
        <v>208</v>
      </c>
      <c r="AF24" s="472" t="s">
        <v>209</v>
      </c>
      <c r="AG24" s="472" t="s">
        <v>6</v>
      </c>
      <c r="AH24" s="472" t="s">
        <v>7</v>
      </c>
      <c r="AI24" s="472" t="s">
        <v>8</v>
      </c>
      <c r="AJ24" s="472" t="s">
        <v>9</v>
      </c>
      <c r="AK24" s="472" t="s">
        <v>10</v>
      </c>
      <c r="AL24" s="472" t="s">
        <v>240</v>
      </c>
      <c r="AM24" s="472" t="s">
        <v>12</v>
      </c>
    </row>
    <row r="25" spans="1:39" x14ac:dyDescent="0.2">
      <c r="A25" t="s">
        <v>916</v>
      </c>
      <c r="B25" t="s">
        <v>917</v>
      </c>
      <c r="C25" s="481">
        <f t="shared" ref="C25:AM25" si="13">((2^(1/12))^(C4-49))*440</f>
        <v>391.99543598174927</v>
      </c>
      <c r="D25" s="481">
        <f t="shared" si="13"/>
        <v>415.30469757994513</v>
      </c>
      <c r="E25" s="481">
        <f t="shared" si="13"/>
        <v>440</v>
      </c>
      <c r="F25" s="481">
        <f t="shared" si="13"/>
        <v>466.16376151808993</v>
      </c>
      <c r="G25" s="481">
        <f t="shared" si="13"/>
        <v>493.88330125612413</v>
      </c>
      <c r="H25" s="481">
        <f t="shared" si="13"/>
        <v>523.25113060119736</v>
      </c>
      <c r="I25" s="481">
        <f t="shared" si="13"/>
        <v>554.36526195374415</v>
      </c>
      <c r="J25" s="481">
        <f t="shared" si="13"/>
        <v>587.32953583481515</v>
      </c>
      <c r="K25" s="481">
        <f t="shared" si="13"/>
        <v>622.25396744416184</v>
      </c>
      <c r="L25" s="481">
        <f t="shared" si="13"/>
        <v>659.25511382573995</v>
      </c>
      <c r="M25" s="481">
        <f t="shared" si="13"/>
        <v>698.45646286600777</v>
      </c>
      <c r="N25" s="481">
        <f t="shared" si="13"/>
        <v>739.98884542326891</v>
      </c>
      <c r="O25" s="481">
        <f t="shared" si="13"/>
        <v>783.99087196349865</v>
      </c>
      <c r="P25" s="481">
        <f t="shared" si="13"/>
        <v>830.60939515989048</v>
      </c>
      <c r="Q25" s="481">
        <f t="shared" si="13"/>
        <v>880</v>
      </c>
      <c r="R25" s="481">
        <f t="shared" si="13"/>
        <v>932.32752303617985</v>
      </c>
      <c r="S25" s="481">
        <f t="shared" si="13"/>
        <v>987.76660251224848</v>
      </c>
      <c r="T25" s="481">
        <f t="shared" si="13"/>
        <v>1046.5022612023947</v>
      </c>
      <c r="U25" s="481">
        <f t="shared" si="13"/>
        <v>1108.7305239074885</v>
      </c>
      <c r="V25" s="481">
        <f t="shared" si="13"/>
        <v>1174.6590716696305</v>
      </c>
      <c r="W25" s="469">
        <f t="shared" si="13"/>
        <v>146.83238395870373</v>
      </c>
      <c r="X25" s="469">
        <f t="shared" si="13"/>
        <v>155.5634918610404</v>
      </c>
      <c r="Y25" s="469">
        <f t="shared" si="13"/>
        <v>164.81377845643493</v>
      </c>
      <c r="Z25" s="469">
        <f t="shared" si="13"/>
        <v>174.61411571650191</v>
      </c>
      <c r="AA25" s="469">
        <f t="shared" si="13"/>
        <v>184.99721135581717</v>
      </c>
      <c r="AB25" s="469">
        <f t="shared" si="13"/>
        <v>195.99771799087461</v>
      </c>
      <c r="AC25" s="469">
        <f t="shared" si="13"/>
        <v>207.65234878997256</v>
      </c>
      <c r="AD25" s="469">
        <f t="shared" si="13"/>
        <v>220</v>
      </c>
      <c r="AE25" s="469">
        <f t="shared" si="13"/>
        <v>233.08188075904491</v>
      </c>
      <c r="AF25" s="469">
        <f t="shared" si="13"/>
        <v>246.94165062806201</v>
      </c>
      <c r="AG25" s="469">
        <f t="shared" si="13"/>
        <v>261.62556530059862</v>
      </c>
      <c r="AH25" s="469">
        <f t="shared" si="13"/>
        <v>277.18263097687208</v>
      </c>
      <c r="AI25" s="469">
        <f t="shared" si="13"/>
        <v>293.66476791740752</v>
      </c>
      <c r="AJ25" s="469">
        <f t="shared" si="13"/>
        <v>311.12698372208087</v>
      </c>
      <c r="AK25" s="469">
        <f t="shared" si="13"/>
        <v>329.62755691286992</v>
      </c>
      <c r="AL25" s="469">
        <f t="shared" si="13"/>
        <v>349.22823143300388</v>
      </c>
      <c r="AM25" s="469">
        <f t="shared" si="13"/>
        <v>369.99442271163434</v>
      </c>
    </row>
    <row r="26" spans="1:39" x14ac:dyDescent="0.2">
      <c r="A26" t="s">
        <v>23</v>
      </c>
      <c r="C26" t="s">
        <v>15</v>
      </c>
      <c r="D26" t="s">
        <v>939</v>
      </c>
      <c r="E26" t="s">
        <v>17</v>
      </c>
      <c r="F26" t="s">
        <v>18</v>
      </c>
      <c r="G26" t="s">
        <v>936</v>
      </c>
      <c r="H26" t="s">
        <v>20</v>
      </c>
      <c r="I26" t="s">
        <v>940</v>
      </c>
      <c r="J26" t="s">
        <v>210</v>
      </c>
      <c r="K26" t="s">
        <v>211</v>
      </c>
      <c r="L26" t="s">
        <v>941</v>
      </c>
      <c r="M26" t="s">
        <v>212</v>
      </c>
      <c r="N26" t="s">
        <v>942</v>
      </c>
      <c r="O26" t="s">
        <v>725</v>
      </c>
      <c r="P26" t="s">
        <v>943</v>
      </c>
      <c r="Q26" t="s">
        <v>734</v>
      </c>
      <c r="R26" t="s">
        <v>737</v>
      </c>
      <c r="S26" t="s">
        <v>944</v>
      </c>
      <c r="T26" t="s">
        <v>740</v>
      </c>
      <c r="U26" t="s">
        <v>945</v>
      </c>
      <c r="V26" t="s">
        <v>744</v>
      </c>
      <c r="W26" t="s">
        <v>784</v>
      </c>
      <c r="X26" t="s">
        <v>792</v>
      </c>
      <c r="Y26" t="s">
        <v>982</v>
      </c>
      <c r="Z26" t="s">
        <v>205</v>
      </c>
      <c r="AA26" t="s">
        <v>1178</v>
      </c>
      <c r="AB26" t="s">
        <v>207</v>
      </c>
      <c r="AC26" t="s">
        <v>1179</v>
      </c>
      <c r="AD26" t="s">
        <v>209</v>
      </c>
      <c r="AE26" t="s">
        <v>6</v>
      </c>
      <c r="AF26" t="s">
        <v>276</v>
      </c>
      <c r="AG26" t="s">
        <v>8</v>
      </c>
      <c r="AH26" t="s">
        <v>937</v>
      </c>
      <c r="AI26" t="s">
        <v>10</v>
      </c>
      <c r="AJ26" t="s">
        <v>240</v>
      </c>
      <c r="AK26" t="s">
        <v>275</v>
      </c>
      <c r="AL26" t="s">
        <v>13</v>
      </c>
      <c r="AM26" t="s">
        <v>938</v>
      </c>
    </row>
    <row r="27" spans="1:39" x14ac:dyDescent="0.2">
      <c r="A27" t="s">
        <v>919</v>
      </c>
      <c r="B27" t="s">
        <v>917</v>
      </c>
      <c r="C27" s="481">
        <f t="shared" ref="C27:AM27" si="14">((2^(1/12))^(C4+2-49))*440</f>
        <v>440</v>
      </c>
      <c r="D27" s="481">
        <f t="shared" si="14"/>
        <v>466.16376151808993</v>
      </c>
      <c r="E27" s="481">
        <f t="shared" si="14"/>
        <v>493.88330125612413</v>
      </c>
      <c r="F27" s="481">
        <f t="shared" si="14"/>
        <v>523.25113060119736</v>
      </c>
      <c r="G27" s="481">
        <f t="shared" si="14"/>
        <v>554.36526195374415</v>
      </c>
      <c r="H27" s="481">
        <f t="shared" si="14"/>
        <v>587.32953583481515</v>
      </c>
      <c r="I27" s="481">
        <f t="shared" si="14"/>
        <v>622.25396744416184</v>
      </c>
      <c r="J27" s="481">
        <f t="shared" si="14"/>
        <v>659.25511382573995</v>
      </c>
      <c r="K27" s="481">
        <f t="shared" si="14"/>
        <v>698.45646286600777</v>
      </c>
      <c r="L27" s="481">
        <f t="shared" si="14"/>
        <v>739.98884542326891</v>
      </c>
      <c r="M27" s="481">
        <f t="shared" si="14"/>
        <v>783.99087196349865</v>
      </c>
      <c r="N27" s="481">
        <f t="shared" si="14"/>
        <v>830.60939515989048</v>
      </c>
      <c r="O27" s="481">
        <f t="shared" si="14"/>
        <v>880</v>
      </c>
      <c r="P27" s="481">
        <f t="shared" si="14"/>
        <v>932.32752303617985</v>
      </c>
      <c r="Q27" s="481">
        <f t="shared" si="14"/>
        <v>987.76660251224848</v>
      </c>
      <c r="R27" s="481">
        <f t="shared" si="14"/>
        <v>1046.5022612023947</v>
      </c>
      <c r="S27" s="481">
        <f t="shared" si="14"/>
        <v>1108.7305239074885</v>
      </c>
      <c r="T27" s="481">
        <f t="shared" si="14"/>
        <v>1174.6590716696305</v>
      </c>
      <c r="U27" s="481">
        <f t="shared" si="14"/>
        <v>1244.5079348883239</v>
      </c>
      <c r="V27" s="481">
        <f t="shared" si="14"/>
        <v>1318.5102276514801</v>
      </c>
      <c r="W27" s="469">
        <f t="shared" si="14"/>
        <v>164.81377845643493</v>
      </c>
      <c r="X27" s="469">
        <f t="shared" si="14"/>
        <v>174.61411571650191</v>
      </c>
      <c r="Y27" s="469">
        <f t="shared" si="14"/>
        <v>184.99721135581717</v>
      </c>
      <c r="Z27" s="469">
        <f t="shared" si="14"/>
        <v>195.99771799087461</v>
      </c>
      <c r="AA27" s="469">
        <f t="shared" si="14"/>
        <v>207.65234878997256</v>
      </c>
      <c r="AB27" s="469">
        <f t="shared" si="14"/>
        <v>220</v>
      </c>
      <c r="AC27" s="469">
        <f t="shared" si="14"/>
        <v>233.08188075904491</v>
      </c>
      <c r="AD27" s="469">
        <f t="shared" si="14"/>
        <v>246.94165062806201</v>
      </c>
      <c r="AE27" s="469">
        <f t="shared" si="14"/>
        <v>261.62556530059862</v>
      </c>
      <c r="AF27" s="469">
        <f t="shared" si="14"/>
        <v>277.18263097687208</v>
      </c>
      <c r="AG27" s="469">
        <f t="shared" si="14"/>
        <v>293.66476791740752</v>
      </c>
      <c r="AH27" s="469">
        <f t="shared" si="14"/>
        <v>311.12698372208087</v>
      </c>
      <c r="AI27" s="469">
        <f t="shared" si="14"/>
        <v>329.62755691286992</v>
      </c>
      <c r="AJ27" s="469">
        <f t="shared" si="14"/>
        <v>349.22823143300388</v>
      </c>
      <c r="AK27" s="469">
        <f t="shared" si="14"/>
        <v>369.99442271163434</v>
      </c>
      <c r="AL27" s="469">
        <f t="shared" si="14"/>
        <v>391.99543598174927</v>
      </c>
      <c r="AM27" s="469">
        <f t="shared" si="14"/>
        <v>415.30469757994513</v>
      </c>
    </row>
    <row r="28" spans="1:39" x14ac:dyDescent="0.2">
      <c r="A28" t="s">
        <v>97</v>
      </c>
      <c r="B28" t="s">
        <v>906</v>
      </c>
      <c r="C28" s="596"/>
      <c r="D28" s="596"/>
      <c r="E28" s="596"/>
      <c r="F28" s="596"/>
      <c r="G28" s="596"/>
      <c r="H28" s="596"/>
      <c r="I28" s="596"/>
      <c r="J28" s="596"/>
      <c r="K28" s="596"/>
      <c r="L28" s="596"/>
      <c r="M28" s="596"/>
      <c r="N28" s="596"/>
      <c r="O28" s="596"/>
      <c r="P28" s="596"/>
      <c r="Q28" s="596"/>
      <c r="R28" s="596"/>
      <c r="S28" s="596"/>
      <c r="T28" s="596"/>
      <c r="U28" s="596"/>
      <c r="V28" s="596"/>
      <c r="W28" s="596"/>
      <c r="X28" s="596"/>
      <c r="Y28" s="596"/>
      <c r="Z28" s="596"/>
      <c r="AA28" s="596"/>
      <c r="AB28" s="596"/>
      <c r="AC28" s="596"/>
      <c r="AD28" s="596"/>
      <c r="AE28" s="596"/>
      <c r="AF28" s="596"/>
      <c r="AG28" s="596"/>
      <c r="AH28" s="596"/>
      <c r="AI28" s="596"/>
      <c r="AJ28" s="596"/>
      <c r="AK28" s="596"/>
      <c r="AL28" s="596"/>
      <c r="AM28" s="596"/>
    </row>
    <row r="29" spans="1:39" x14ac:dyDescent="0.2">
      <c r="A29" t="s">
        <v>920</v>
      </c>
      <c r="B29" t="s">
        <v>906</v>
      </c>
      <c r="C29" s="482">
        <f t="shared" ref="C29:AM29" si="15">C18*C25/C27</f>
        <v>15.400000000000002</v>
      </c>
      <c r="D29" s="482">
        <f t="shared" si="15"/>
        <v>14.535664415298081</v>
      </c>
      <c r="E29" s="482">
        <f t="shared" si="15"/>
        <v>13.719840259361225</v>
      </c>
      <c r="F29" s="482">
        <f t="shared" si="15"/>
        <v>12.949804794907202</v>
      </c>
      <c r="G29" s="482">
        <f t="shared" si="15"/>
        <v>12.222988100155137</v>
      </c>
      <c r="H29" s="482">
        <f t="shared" si="15"/>
        <v>11.536964491950448</v>
      </c>
      <c r="I29" s="482">
        <f t="shared" si="15"/>
        <v>10.889444430272832</v>
      </c>
      <c r="J29" s="482">
        <f t="shared" si="15"/>
        <v>10.278266877109264</v>
      </c>
      <c r="K29" s="482">
        <f t="shared" si="15"/>
        <v>9.7013920841905232</v>
      </c>
      <c r="L29" s="482">
        <f t="shared" si="15"/>
        <v>9.1568947855209508</v>
      </c>
      <c r="M29" s="482">
        <f t="shared" si="15"/>
        <v>8.6429577719821715</v>
      </c>
      <c r="N29" s="482">
        <f t="shared" si="15"/>
        <v>8.1578658265665709</v>
      </c>
      <c r="O29" s="482">
        <f t="shared" si="15"/>
        <v>7.7</v>
      </c>
      <c r="P29" s="482">
        <f t="shared" si="15"/>
        <v>7.2678322076490387</v>
      </c>
      <c r="Q29" s="482">
        <f t="shared" si="15"/>
        <v>6.8599201296806109</v>
      </c>
      <c r="R29" s="482">
        <f t="shared" si="15"/>
        <v>6.4749023974536009</v>
      </c>
      <c r="S29" s="482">
        <f t="shared" si="15"/>
        <v>6.1114940500775674</v>
      </c>
      <c r="T29" s="482">
        <f t="shared" si="15"/>
        <v>5.7684822459752221</v>
      </c>
      <c r="U29" s="482">
        <f t="shared" si="15"/>
        <v>5.444722215136415</v>
      </c>
      <c r="V29" s="482">
        <f t="shared" si="15"/>
        <v>5.139133438554631</v>
      </c>
      <c r="W29" s="482">
        <f t="shared" si="15"/>
        <v>41.113067508437069</v>
      </c>
      <c r="X29" s="482">
        <f t="shared" si="15"/>
        <v>38.8055683367621</v>
      </c>
      <c r="Y29" s="482">
        <f t="shared" si="15"/>
        <v>36.627579142083817</v>
      </c>
      <c r="Z29" s="482">
        <f t="shared" si="15"/>
        <v>34.571831087928693</v>
      </c>
      <c r="AA29" s="482">
        <f t="shared" si="15"/>
        <v>32.631463306266298</v>
      </c>
      <c r="AB29" s="482">
        <f t="shared" si="15"/>
        <v>30.8</v>
      </c>
      <c r="AC29" s="482">
        <f t="shared" si="15"/>
        <v>29.071328830596169</v>
      </c>
      <c r="AD29" s="482">
        <f t="shared" si="15"/>
        <v>27.439680518722454</v>
      </c>
      <c r="AE29" s="482">
        <f t="shared" si="15"/>
        <v>25.899609589814411</v>
      </c>
      <c r="AF29" s="482">
        <f t="shared" si="15"/>
        <v>24.445976200310273</v>
      </c>
      <c r="AG29" s="482">
        <f t="shared" si="15"/>
        <v>23.073928983900899</v>
      </c>
      <c r="AH29" s="482">
        <f t="shared" si="15"/>
        <v>21.778888860545667</v>
      </c>
      <c r="AI29" s="482">
        <f t="shared" si="15"/>
        <v>20.556533754218531</v>
      </c>
      <c r="AJ29" s="482">
        <f t="shared" si="15"/>
        <v>19.402784168381046</v>
      </c>
      <c r="AK29" s="482">
        <f t="shared" si="15"/>
        <v>18.313789571041909</v>
      </c>
      <c r="AL29" s="482">
        <f t="shared" si="15"/>
        <v>17.285915543964347</v>
      </c>
      <c r="AM29" s="482">
        <f t="shared" si="15"/>
        <v>16.315731653133149</v>
      </c>
    </row>
    <row r="30" spans="1:39" x14ac:dyDescent="0.2">
      <c r="A30" t="s">
        <v>39</v>
      </c>
      <c r="C30" t="s">
        <v>17</v>
      </c>
      <c r="D30" t="s">
        <v>18</v>
      </c>
      <c r="E30" t="s">
        <v>936</v>
      </c>
      <c r="F30" t="s">
        <v>20</v>
      </c>
      <c r="G30" t="s">
        <v>940</v>
      </c>
      <c r="H30" t="s">
        <v>210</v>
      </c>
      <c r="I30" t="s">
        <v>211</v>
      </c>
      <c r="J30" t="s">
        <v>941</v>
      </c>
      <c r="K30" t="s">
        <v>212</v>
      </c>
      <c r="L30" t="s">
        <v>942</v>
      </c>
      <c r="M30" t="s">
        <v>725</v>
      </c>
      <c r="N30" t="s">
        <v>943</v>
      </c>
      <c r="O30" t="s">
        <v>734</v>
      </c>
      <c r="P30" t="s">
        <v>737</v>
      </c>
      <c r="Q30" t="s">
        <v>944</v>
      </c>
      <c r="R30" t="s">
        <v>740</v>
      </c>
      <c r="S30" t="s">
        <v>945</v>
      </c>
      <c r="T30" t="s">
        <v>744</v>
      </c>
      <c r="U30" t="s">
        <v>746</v>
      </c>
      <c r="V30" t="s">
        <v>946</v>
      </c>
      <c r="W30" t="s">
        <v>982</v>
      </c>
      <c r="X30" t="s">
        <v>205</v>
      </c>
      <c r="Y30" t="s">
        <v>1178</v>
      </c>
      <c r="Z30" t="s">
        <v>207</v>
      </c>
      <c r="AA30" t="s">
        <v>1179</v>
      </c>
      <c r="AB30" t="s">
        <v>209</v>
      </c>
      <c r="AC30" t="s">
        <v>6</v>
      </c>
      <c r="AD30" t="s">
        <v>276</v>
      </c>
      <c r="AE30" t="s">
        <v>8</v>
      </c>
      <c r="AF30" t="s">
        <v>937</v>
      </c>
      <c r="AG30" t="s">
        <v>10</v>
      </c>
      <c r="AH30" t="s">
        <v>240</v>
      </c>
      <c r="AI30" t="s">
        <v>275</v>
      </c>
      <c r="AJ30" t="s">
        <v>13</v>
      </c>
      <c r="AK30" t="s">
        <v>938</v>
      </c>
      <c r="AL30" t="s">
        <v>15</v>
      </c>
      <c r="AM30" t="s">
        <v>939</v>
      </c>
    </row>
    <row r="31" spans="1:39" x14ac:dyDescent="0.2">
      <c r="A31" t="s">
        <v>922</v>
      </c>
      <c r="B31" t="s">
        <v>917</v>
      </c>
      <c r="C31" s="481">
        <f t="shared" ref="C31:AM31" si="16">((2^(1/12))^(C4+4-49))*440</f>
        <v>493.88330125612413</v>
      </c>
      <c r="D31" s="481">
        <f t="shared" si="16"/>
        <v>523.25113060119736</v>
      </c>
      <c r="E31" s="481">
        <f t="shared" si="16"/>
        <v>554.36526195374415</v>
      </c>
      <c r="F31" s="481">
        <f t="shared" si="16"/>
        <v>587.32953583481515</v>
      </c>
      <c r="G31" s="481">
        <f t="shared" si="16"/>
        <v>622.25396744416184</v>
      </c>
      <c r="H31" s="481">
        <f t="shared" si="16"/>
        <v>659.25511382573995</v>
      </c>
      <c r="I31" s="481">
        <f t="shared" si="16"/>
        <v>698.45646286600777</v>
      </c>
      <c r="J31" s="481">
        <f t="shared" si="16"/>
        <v>739.98884542326891</v>
      </c>
      <c r="K31" s="481">
        <f t="shared" si="16"/>
        <v>783.99087196349865</v>
      </c>
      <c r="L31" s="481">
        <f t="shared" si="16"/>
        <v>830.60939515989048</v>
      </c>
      <c r="M31" s="481">
        <f t="shared" si="16"/>
        <v>880</v>
      </c>
      <c r="N31" s="481">
        <f t="shared" si="16"/>
        <v>932.32752303617985</v>
      </c>
      <c r="O31" s="481">
        <f t="shared" si="16"/>
        <v>987.76660251224848</v>
      </c>
      <c r="P31" s="481">
        <f t="shared" si="16"/>
        <v>1046.5022612023947</v>
      </c>
      <c r="Q31" s="481">
        <f t="shared" si="16"/>
        <v>1108.7305239074885</v>
      </c>
      <c r="R31" s="481">
        <f t="shared" si="16"/>
        <v>1174.6590716696305</v>
      </c>
      <c r="S31" s="481">
        <f t="shared" si="16"/>
        <v>1244.5079348883239</v>
      </c>
      <c r="T31" s="481">
        <f t="shared" si="16"/>
        <v>1318.5102276514801</v>
      </c>
      <c r="U31" s="481">
        <f t="shared" si="16"/>
        <v>1396.9129257320158</v>
      </c>
      <c r="V31" s="481">
        <f t="shared" si="16"/>
        <v>1479.9776908465378</v>
      </c>
      <c r="W31" s="469">
        <f t="shared" si="16"/>
        <v>184.99721135581717</v>
      </c>
      <c r="X31" s="469">
        <f t="shared" si="16"/>
        <v>195.99771799087461</v>
      </c>
      <c r="Y31" s="469">
        <f t="shared" si="16"/>
        <v>207.65234878997256</v>
      </c>
      <c r="Z31" s="469">
        <f t="shared" si="16"/>
        <v>220</v>
      </c>
      <c r="AA31" s="469">
        <f t="shared" si="16"/>
        <v>233.08188075904491</v>
      </c>
      <c r="AB31" s="469">
        <f t="shared" si="16"/>
        <v>246.94165062806201</v>
      </c>
      <c r="AC31" s="469">
        <f t="shared" si="16"/>
        <v>261.62556530059862</v>
      </c>
      <c r="AD31" s="469">
        <f t="shared" si="16"/>
        <v>277.18263097687208</v>
      </c>
      <c r="AE31" s="469">
        <f t="shared" si="16"/>
        <v>293.66476791740752</v>
      </c>
      <c r="AF31" s="469">
        <f t="shared" si="16"/>
        <v>311.12698372208087</v>
      </c>
      <c r="AG31" s="469">
        <f t="shared" si="16"/>
        <v>329.62755691286992</v>
      </c>
      <c r="AH31" s="469">
        <f t="shared" si="16"/>
        <v>349.22823143300388</v>
      </c>
      <c r="AI31" s="469">
        <f t="shared" si="16"/>
        <v>369.99442271163434</v>
      </c>
      <c r="AJ31" s="469">
        <f t="shared" si="16"/>
        <v>391.99543598174927</v>
      </c>
      <c r="AK31" s="469">
        <f t="shared" si="16"/>
        <v>415.30469757994513</v>
      </c>
      <c r="AL31" s="469">
        <f t="shared" si="16"/>
        <v>440</v>
      </c>
      <c r="AM31" s="469">
        <f t="shared" si="16"/>
        <v>466.16376151808993</v>
      </c>
    </row>
    <row r="32" spans="1:39" x14ac:dyDescent="0.2">
      <c r="A32" t="s">
        <v>100</v>
      </c>
      <c r="B32" t="s">
        <v>906</v>
      </c>
      <c r="C32" s="596"/>
      <c r="D32" s="596"/>
      <c r="E32" s="596"/>
      <c r="F32" s="596"/>
      <c r="G32" s="596"/>
      <c r="H32" s="596"/>
      <c r="I32" s="596"/>
      <c r="J32" s="596"/>
      <c r="K32" s="596"/>
      <c r="L32" s="596"/>
      <c r="M32" s="596"/>
      <c r="N32" s="596"/>
      <c r="O32" s="596"/>
      <c r="P32" s="596"/>
      <c r="Q32" s="596"/>
      <c r="R32" s="596"/>
      <c r="S32" s="596"/>
      <c r="T32" s="596"/>
      <c r="U32" s="596"/>
      <c r="V32" s="596"/>
      <c r="W32" s="596"/>
      <c r="X32" s="596"/>
      <c r="Y32" s="596"/>
      <c r="Z32" s="596"/>
      <c r="AA32" s="596"/>
      <c r="AB32" s="596"/>
      <c r="AC32" s="596"/>
      <c r="AD32" s="596"/>
      <c r="AE32" s="596"/>
      <c r="AF32" s="596"/>
      <c r="AG32" s="596"/>
      <c r="AH32" s="596"/>
      <c r="AI32" s="596"/>
      <c r="AJ32" s="596"/>
      <c r="AK32" s="596"/>
      <c r="AL32" s="596"/>
      <c r="AM32" s="596"/>
    </row>
    <row r="33" spans="1:39" x14ac:dyDescent="0.2">
      <c r="A33" t="s">
        <v>923</v>
      </c>
      <c r="B33" t="s">
        <v>906</v>
      </c>
      <c r="C33" s="482">
        <f t="shared" ref="C33:AM33" si="17">C18*C25/C31</f>
        <v>13.719840259361227</v>
      </c>
      <c r="D33" s="482">
        <f t="shared" si="17"/>
        <v>12.949804794907203</v>
      </c>
      <c r="E33" s="482">
        <f t="shared" si="17"/>
        <v>12.222988100155137</v>
      </c>
      <c r="F33" s="482">
        <f t="shared" si="17"/>
        <v>11.536964491950448</v>
      </c>
      <c r="G33" s="482">
        <f t="shared" si="17"/>
        <v>10.889444430272832</v>
      </c>
      <c r="H33" s="482">
        <f t="shared" si="17"/>
        <v>10.278266877109264</v>
      </c>
      <c r="I33" s="482">
        <f t="shared" si="17"/>
        <v>9.7013920841905232</v>
      </c>
      <c r="J33" s="482">
        <f t="shared" si="17"/>
        <v>9.1568947855209508</v>
      </c>
      <c r="K33" s="482">
        <f t="shared" si="17"/>
        <v>8.6429577719821715</v>
      </c>
      <c r="L33" s="482">
        <f t="shared" si="17"/>
        <v>8.1578658265665709</v>
      </c>
      <c r="M33" s="482">
        <f t="shared" si="17"/>
        <v>7.7</v>
      </c>
      <c r="N33" s="482">
        <f t="shared" si="17"/>
        <v>7.2678322076490396</v>
      </c>
      <c r="O33" s="482">
        <f t="shared" si="17"/>
        <v>6.8599201296806109</v>
      </c>
      <c r="P33" s="482">
        <f t="shared" si="17"/>
        <v>6.4749023974536</v>
      </c>
      <c r="Q33" s="482">
        <f t="shared" si="17"/>
        <v>6.1114940500775674</v>
      </c>
      <c r="R33" s="482">
        <f t="shared" si="17"/>
        <v>5.7684822459752221</v>
      </c>
      <c r="S33" s="482">
        <f t="shared" si="17"/>
        <v>5.444722215136415</v>
      </c>
      <c r="T33" s="482">
        <f t="shared" si="17"/>
        <v>5.139133438554631</v>
      </c>
      <c r="U33" s="482">
        <f t="shared" si="17"/>
        <v>4.8506960420952607</v>
      </c>
      <c r="V33" s="482">
        <f t="shared" si="17"/>
        <v>4.5784473927604754</v>
      </c>
      <c r="W33" s="482">
        <f t="shared" si="17"/>
        <v>36.627579142083817</v>
      </c>
      <c r="X33" s="482">
        <f t="shared" si="17"/>
        <v>34.571831087928693</v>
      </c>
      <c r="Y33" s="482">
        <f t="shared" si="17"/>
        <v>32.631463306266298</v>
      </c>
      <c r="Z33" s="482">
        <f t="shared" si="17"/>
        <v>30.8</v>
      </c>
      <c r="AA33" s="482">
        <f t="shared" si="17"/>
        <v>29.071328830596169</v>
      </c>
      <c r="AB33" s="482">
        <f t="shared" si="17"/>
        <v>27.439680518722454</v>
      </c>
      <c r="AC33" s="482">
        <f t="shared" si="17"/>
        <v>25.899609589814414</v>
      </c>
      <c r="AD33" s="482">
        <f t="shared" si="17"/>
        <v>24.445976200310273</v>
      </c>
      <c r="AE33" s="482">
        <f t="shared" si="17"/>
        <v>23.073928983900899</v>
      </c>
      <c r="AF33" s="482">
        <f t="shared" si="17"/>
        <v>21.778888860545667</v>
      </c>
      <c r="AG33" s="482">
        <f t="shared" si="17"/>
        <v>20.556533754218531</v>
      </c>
      <c r="AH33" s="482">
        <f t="shared" si="17"/>
        <v>19.402784168381046</v>
      </c>
      <c r="AI33" s="482">
        <f t="shared" si="17"/>
        <v>18.313789571041909</v>
      </c>
      <c r="AJ33" s="482">
        <f t="shared" si="17"/>
        <v>17.285915543964347</v>
      </c>
      <c r="AK33" s="482">
        <f t="shared" si="17"/>
        <v>16.315731653133149</v>
      </c>
      <c r="AL33" s="482">
        <f t="shared" si="17"/>
        <v>15.4</v>
      </c>
      <c r="AM33" s="482">
        <f t="shared" si="17"/>
        <v>14.535664415298081</v>
      </c>
    </row>
    <row r="34" spans="1:39" x14ac:dyDescent="0.2">
      <c r="A34" t="s">
        <v>44</v>
      </c>
      <c r="C34" t="s">
        <v>18</v>
      </c>
      <c r="D34" t="s">
        <v>936</v>
      </c>
      <c r="E34" t="s">
        <v>20</v>
      </c>
      <c r="F34" t="s">
        <v>940</v>
      </c>
      <c r="G34" t="s">
        <v>210</v>
      </c>
      <c r="H34" t="s">
        <v>211</v>
      </c>
      <c r="I34" t="s">
        <v>941</v>
      </c>
      <c r="J34" t="s">
        <v>212</v>
      </c>
      <c r="K34" t="s">
        <v>942</v>
      </c>
      <c r="L34" t="s">
        <v>725</v>
      </c>
      <c r="M34" t="s">
        <v>943</v>
      </c>
      <c r="N34" t="s">
        <v>734</v>
      </c>
      <c r="O34" t="s">
        <v>737</v>
      </c>
      <c r="P34" t="s">
        <v>944</v>
      </c>
      <c r="Q34" t="s">
        <v>740</v>
      </c>
      <c r="R34" t="s">
        <v>945</v>
      </c>
      <c r="S34" t="s">
        <v>744</v>
      </c>
      <c r="T34" t="s">
        <v>746</v>
      </c>
      <c r="U34" t="s">
        <v>946</v>
      </c>
      <c r="V34" t="s">
        <v>749</v>
      </c>
      <c r="W34" t="s">
        <v>205</v>
      </c>
      <c r="X34" t="s">
        <v>1178</v>
      </c>
      <c r="Y34" t="s">
        <v>207</v>
      </c>
      <c r="Z34" t="s">
        <v>1179</v>
      </c>
      <c r="AA34" t="s">
        <v>209</v>
      </c>
      <c r="AB34" t="s">
        <v>6</v>
      </c>
      <c r="AC34" t="s">
        <v>276</v>
      </c>
      <c r="AD34" t="s">
        <v>8</v>
      </c>
      <c r="AE34" t="s">
        <v>937</v>
      </c>
      <c r="AF34" t="s">
        <v>10</v>
      </c>
      <c r="AG34" t="s">
        <v>240</v>
      </c>
      <c r="AH34" t="s">
        <v>275</v>
      </c>
      <c r="AI34" t="s">
        <v>13</v>
      </c>
      <c r="AJ34" t="s">
        <v>938</v>
      </c>
      <c r="AK34" t="s">
        <v>15</v>
      </c>
      <c r="AL34" t="s">
        <v>939</v>
      </c>
      <c r="AM34" t="s">
        <v>17</v>
      </c>
    </row>
    <row r="35" spans="1:39" x14ac:dyDescent="0.2">
      <c r="A35" t="s">
        <v>925</v>
      </c>
      <c r="B35" t="s">
        <v>917</v>
      </c>
      <c r="C35" s="481">
        <f t="shared" ref="C35:AM35" si="18">((2^(1/12))^(C4+5-49))*440</f>
        <v>523.25113060119736</v>
      </c>
      <c r="D35" s="481">
        <f t="shared" si="18"/>
        <v>554.36526195374415</v>
      </c>
      <c r="E35" s="481">
        <f t="shared" si="18"/>
        <v>587.32953583481515</v>
      </c>
      <c r="F35" s="481">
        <f t="shared" si="18"/>
        <v>622.25396744416184</v>
      </c>
      <c r="G35" s="481">
        <f t="shared" si="18"/>
        <v>659.25511382573995</v>
      </c>
      <c r="H35" s="481">
        <f t="shared" si="18"/>
        <v>698.45646286600777</v>
      </c>
      <c r="I35" s="481">
        <f t="shared" si="18"/>
        <v>739.98884542326891</v>
      </c>
      <c r="J35" s="481">
        <f t="shared" si="18"/>
        <v>783.99087196349865</v>
      </c>
      <c r="K35" s="481">
        <f t="shared" si="18"/>
        <v>830.60939515989048</v>
      </c>
      <c r="L35" s="481">
        <f t="shared" si="18"/>
        <v>880</v>
      </c>
      <c r="M35" s="481">
        <f t="shared" si="18"/>
        <v>932.32752303617985</v>
      </c>
      <c r="N35" s="481">
        <f t="shared" si="18"/>
        <v>987.76660251224848</v>
      </c>
      <c r="O35" s="481">
        <f t="shared" si="18"/>
        <v>1046.5022612023947</v>
      </c>
      <c r="P35" s="481">
        <f t="shared" si="18"/>
        <v>1108.7305239074885</v>
      </c>
      <c r="Q35" s="481">
        <f t="shared" si="18"/>
        <v>1174.6590716696305</v>
      </c>
      <c r="R35" s="481">
        <f t="shared" si="18"/>
        <v>1244.5079348883239</v>
      </c>
      <c r="S35" s="481">
        <f t="shared" si="18"/>
        <v>1318.5102276514801</v>
      </c>
      <c r="T35" s="481">
        <f t="shared" si="18"/>
        <v>1396.9129257320158</v>
      </c>
      <c r="U35" s="481">
        <f t="shared" si="18"/>
        <v>1479.9776908465378</v>
      </c>
      <c r="V35" s="481">
        <f t="shared" si="18"/>
        <v>1567.9817439269975</v>
      </c>
      <c r="W35" s="469">
        <f t="shared" si="18"/>
        <v>195.99771799087461</v>
      </c>
      <c r="X35" s="469">
        <f t="shared" si="18"/>
        <v>207.65234878997256</v>
      </c>
      <c r="Y35" s="469">
        <f t="shared" si="18"/>
        <v>220</v>
      </c>
      <c r="Z35" s="469">
        <f t="shared" si="18"/>
        <v>233.08188075904491</v>
      </c>
      <c r="AA35" s="469">
        <f t="shared" si="18"/>
        <v>246.94165062806201</v>
      </c>
      <c r="AB35" s="469">
        <f t="shared" si="18"/>
        <v>261.62556530059862</v>
      </c>
      <c r="AC35" s="469">
        <f t="shared" si="18"/>
        <v>277.18263097687208</v>
      </c>
      <c r="AD35" s="469">
        <f t="shared" si="18"/>
        <v>293.66476791740752</v>
      </c>
      <c r="AE35" s="469">
        <f t="shared" si="18"/>
        <v>311.12698372208087</v>
      </c>
      <c r="AF35" s="469">
        <f t="shared" si="18"/>
        <v>329.62755691286992</v>
      </c>
      <c r="AG35" s="469">
        <f t="shared" si="18"/>
        <v>349.22823143300388</v>
      </c>
      <c r="AH35" s="469">
        <f t="shared" si="18"/>
        <v>369.99442271163434</v>
      </c>
      <c r="AI35" s="469">
        <f t="shared" si="18"/>
        <v>391.99543598174927</v>
      </c>
      <c r="AJ35" s="469">
        <f t="shared" si="18"/>
        <v>415.30469757994513</v>
      </c>
      <c r="AK35" s="469">
        <f t="shared" si="18"/>
        <v>440</v>
      </c>
      <c r="AL35" s="469">
        <f t="shared" si="18"/>
        <v>466.16376151808993</v>
      </c>
      <c r="AM35" s="469">
        <f t="shared" si="18"/>
        <v>493.88330125612413</v>
      </c>
    </row>
    <row r="36" spans="1:39" x14ac:dyDescent="0.2">
      <c r="A36" t="s">
        <v>102</v>
      </c>
      <c r="B36" t="s">
        <v>906</v>
      </c>
      <c r="C36" s="596"/>
      <c r="D36" s="596"/>
      <c r="E36" s="596"/>
      <c r="F36" s="596"/>
      <c r="G36" s="596"/>
      <c r="H36" s="596"/>
      <c r="I36" s="596"/>
      <c r="J36" s="596"/>
      <c r="K36" s="596"/>
      <c r="L36" s="596"/>
      <c r="M36" s="596"/>
      <c r="N36" s="596"/>
      <c r="O36" s="596"/>
      <c r="P36" s="596"/>
      <c r="Q36" s="596"/>
      <c r="R36" s="596"/>
      <c r="S36" s="596"/>
      <c r="T36" s="596"/>
      <c r="U36" s="596"/>
      <c r="V36" s="596"/>
      <c r="W36" s="596"/>
      <c r="X36" s="596"/>
      <c r="Y36" s="596"/>
      <c r="Z36" s="596"/>
      <c r="AA36" s="596"/>
      <c r="AB36" s="596"/>
      <c r="AC36" s="596"/>
      <c r="AD36" s="596"/>
      <c r="AE36" s="596"/>
      <c r="AF36" s="596"/>
      <c r="AG36" s="596"/>
      <c r="AH36" s="596"/>
      <c r="AI36" s="596"/>
      <c r="AJ36" s="596"/>
      <c r="AK36" s="596"/>
      <c r="AL36" s="596"/>
      <c r="AM36" s="596"/>
    </row>
    <row r="37" spans="1:39" x14ac:dyDescent="0.2">
      <c r="A37" t="s">
        <v>926</v>
      </c>
      <c r="B37" t="s">
        <v>906</v>
      </c>
      <c r="C37" s="482">
        <f t="shared" ref="C37:AM37" si="19">C18*C25/C35</f>
        <v>12.949804794907203</v>
      </c>
      <c r="D37" s="482">
        <f t="shared" si="19"/>
        <v>12.222988100155138</v>
      </c>
      <c r="E37" s="482">
        <f t="shared" si="19"/>
        <v>11.536964491950448</v>
      </c>
      <c r="F37" s="482">
        <f t="shared" si="19"/>
        <v>10.889444430272832</v>
      </c>
      <c r="G37" s="482">
        <f t="shared" si="19"/>
        <v>10.278266877109264</v>
      </c>
      <c r="H37" s="482">
        <f t="shared" si="19"/>
        <v>9.7013920841905232</v>
      </c>
      <c r="I37" s="482">
        <f t="shared" si="19"/>
        <v>9.1568947855209508</v>
      </c>
      <c r="J37" s="482">
        <f t="shared" si="19"/>
        <v>8.6429577719821715</v>
      </c>
      <c r="K37" s="482">
        <f t="shared" si="19"/>
        <v>8.1578658265665709</v>
      </c>
      <c r="L37" s="482">
        <f t="shared" si="19"/>
        <v>7.7</v>
      </c>
      <c r="M37" s="482">
        <f t="shared" si="19"/>
        <v>7.2678322076490396</v>
      </c>
      <c r="N37" s="482">
        <f t="shared" si="19"/>
        <v>6.8599201296806109</v>
      </c>
      <c r="O37" s="482">
        <f t="shared" si="19"/>
        <v>6.4749023974536009</v>
      </c>
      <c r="P37" s="482">
        <f t="shared" si="19"/>
        <v>6.1114940500775665</v>
      </c>
      <c r="Q37" s="482">
        <f t="shared" si="19"/>
        <v>5.7684822459752221</v>
      </c>
      <c r="R37" s="482">
        <f t="shared" si="19"/>
        <v>5.444722215136415</v>
      </c>
      <c r="S37" s="482">
        <f t="shared" si="19"/>
        <v>5.139133438554631</v>
      </c>
      <c r="T37" s="482">
        <f t="shared" si="19"/>
        <v>4.8506960420952607</v>
      </c>
      <c r="U37" s="482">
        <f t="shared" si="19"/>
        <v>4.5784473927604754</v>
      </c>
      <c r="V37" s="482">
        <f t="shared" si="19"/>
        <v>4.3214788859910849</v>
      </c>
      <c r="W37" s="482">
        <f t="shared" si="19"/>
        <v>34.571831087928693</v>
      </c>
      <c r="X37" s="482">
        <f t="shared" si="19"/>
        <v>32.631463306266298</v>
      </c>
      <c r="Y37" s="482">
        <f t="shared" si="19"/>
        <v>30.8</v>
      </c>
      <c r="Z37" s="482">
        <f t="shared" si="19"/>
        <v>29.071328830596165</v>
      </c>
      <c r="AA37" s="482">
        <f t="shared" si="19"/>
        <v>27.439680518722458</v>
      </c>
      <c r="AB37" s="482">
        <f t="shared" si="19"/>
        <v>25.899609589814411</v>
      </c>
      <c r="AC37" s="482">
        <f t="shared" si="19"/>
        <v>24.445976200310277</v>
      </c>
      <c r="AD37" s="482">
        <f t="shared" si="19"/>
        <v>23.073928983900899</v>
      </c>
      <c r="AE37" s="482">
        <f t="shared" si="19"/>
        <v>21.778888860545667</v>
      </c>
      <c r="AF37" s="482">
        <f t="shared" si="19"/>
        <v>20.556533754218531</v>
      </c>
      <c r="AG37" s="482">
        <f t="shared" si="19"/>
        <v>19.402784168381046</v>
      </c>
      <c r="AH37" s="482">
        <f t="shared" si="19"/>
        <v>18.313789571041909</v>
      </c>
      <c r="AI37" s="482">
        <f t="shared" si="19"/>
        <v>17.285915543964347</v>
      </c>
      <c r="AJ37" s="482">
        <f t="shared" si="19"/>
        <v>16.315731653133149</v>
      </c>
      <c r="AK37" s="482">
        <f t="shared" si="19"/>
        <v>15.4</v>
      </c>
      <c r="AL37" s="482">
        <f t="shared" si="19"/>
        <v>14.535664415298079</v>
      </c>
      <c r="AM37" s="482">
        <f t="shared" si="19"/>
        <v>13.719840259361227</v>
      </c>
    </row>
    <row r="38" spans="1:39" x14ac:dyDescent="0.2">
      <c r="A38" t="s">
        <v>49</v>
      </c>
      <c r="C38" t="s">
        <v>20</v>
      </c>
      <c r="D38" t="s">
        <v>940</v>
      </c>
      <c r="E38" t="s">
        <v>210</v>
      </c>
      <c r="F38" t="s">
        <v>211</v>
      </c>
      <c r="G38" t="s">
        <v>941</v>
      </c>
      <c r="H38" t="s">
        <v>212</v>
      </c>
      <c r="I38" t="s">
        <v>942</v>
      </c>
      <c r="J38" t="s">
        <v>725</v>
      </c>
      <c r="K38" t="s">
        <v>943</v>
      </c>
      <c r="L38" t="s">
        <v>734</v>
      </c>
      <c r="M38" t="s">
        <v>737</v>
      </c>
      <c r="N38" t="s">
        <v>944</v>
      </c>
      <c r="O38" t="s">
        <v>740</v>
      </c>
      <c r="P38" t="s">
        <v>945</v>
      </c>
      <c r="Q38" t="s">
        <v>744</v>
      </c>
      <c r="R38" t="s">
        <v>746</v>
      </c>
      <c r="S38" t="s">
        <v>946</v>
      </c>
      <c r="T38" t="s">
        <v>749</v>
      </c>
      <c r="U38" t="s">
        <v>947</v>
      </c>
      <c r="V38" t="s">
        <v>887</v>
      </c>
      <c r="W38" t="s">
        <v>207</v>
      </c>
      <c r="X38" t="s">
        <v>1179</v>
      </c>
      <c r="Y38" t="s">
        <v>209</v>
      </c>
      <c r="Z38" t="s">
        <v>6</v>
      </c>
      <c r="AA38" t="s">
        <v>276</v>
      </c>
      <c r="AB38" t="s">
        <v>8</v>
      </c>
      <c r="AC38" t="s">
        <v>937</v>
      </c>
      <c r="AD38" t="s">
        <v>10</v>
      </c>
      <c r="AE38" t="s">
        <v>240</v>
      </c>
      <c r="AF38" t="s">
        <v>275</v>
      </c>
      <c r="AG38" t="s">
        <v>13</v>
      </c>
      <c r="AH38" t="s">
        <v>938</v>
      </c>
      <c r="AI38" t="s">
        <v>15</v>
      </c>
      <c r="AJ38" t="s">
        <v>939</v>
      </c>
      <c r="AK38" t="s">
        <v>17</v>
      </c>
      <c r="AL38" t="s">
        <v>18</v>
      </c>
      <c r="AM38" t="s">
        <v>936</v>
      </c>
    </row>
    <row r="39" spans="1:39" x14ac:dyDescent="0.2">
      <c r="A39" t="s">
        <v>928</v>
      </c>
      <c r="B39" t="s">
        <v>917</v>
      </c>
      <c r="C39" s="481">
        <f t="shared" ref="C39:AM39" si="20">((2^(1/12))^(C4+7-49))*440</f>
        <v>587.32953583481515</v>
      </c>
      <c r="D39" s="481">
        <f t="shared" si="20"/>
        <v>622.25396744416184</v>
      </c>
      <c r="E39" s="481">
        <f t="shared" si="20"/>
        <v>659.25511382573995</v>
      </c>
      <c r="F39" s="481">
        <f t="shared" si="20"/>
        <v>698.45646286600777</v>
      </c>
      <c r="G39" s="481">
        <f t="shared" si="20"/>
        <v>739.98884542326891</v>
      </c>
      <c r="H39" s="481">
        <f t="shared" si="20"/>
        <v>783.99087196349865</v>
      </c>
      <c r="I39" s="481">
        <f t="shared" si="20"/>
        <v>830.60939515989048</v>
      </c>
      <c r="J39" s="481">
        <f t="shared" si="20"/>
        <v>880</v>
      </c>
      <c r="K39" s="481">
        <f t="shared" si="20"/>
        <v>932.32752303617985</v>
      </c>
      <c r="L39" s="481">
        <f t="shared" si="20"/>
        <v>987.76660251224848</v>
      </c>
      <c r="M39" s="481">
        <f t="shared" si="20"/>
        <v>1046.5022612023947</v>
      </c>
      <c r="N39" s="481">
        <f t="shared" si="20"/>
        <v>1108.7305239074885</v>
      </c>
      <c r="O39" s="481">
        <f t="shared" si="20"/>
        <v>1174.6590716696305</v>
      </c>
      <c r="P39" s="481">
        <f t="shared" si="20"/>
        <v>1244.5079348883239</v>
      </c>
      <c r="Q39" s="481">
        <f t="shared" si="20"/>
        <v>1318.5102276514801</v>
      </c>
      <c r="R39" s="481">
        <f t="shared" si="20"/>
        <v>1396.9129257320158</v>
      </c>
      <c r="S39" s="481">
        <f t="shared" si="20"/>
        <v>1479.9776908465378</v>
      </c>
      <c r="T39" s="481">
        <f t="shared" si="20"/>
        <v>1567.9817439269975</v>
      </c>
      <c r="U39" s="481">
        <f t="shared" si="20"/>
        <v>1661.2187903197812</v>
      </c>
      <c r="V39" s="481">
        <f t="shared" si="20"/>
        <v>1760.0000000000005</v>
      </c>
      <c r="W39" s="469">
        <f t="shared" si="20"/>
        <v>220</v>
      </c>
      <c r="X39" s="469">
        <f t="shared" si="20"/>
        <v>233.08188075904491</v>
      </c>
      <c r="Y39" s="469">
        <f t="shared" si="20"/>
        <v>246.94165062806201</v>
      </c>
      <c r="Z39" s="469">
        <f t="shared" si="20"/>
        <v>261.62556530059862</v>
      </c>
      <c r="AA39" s="469">
        <f t="shared" si="20"/>
        <v>277.18263097687208</v>
      </c>
      <c r="AB39" s="469">
        <f t="shared" si="20"/>
        <v>293.66476791740752</v>
      </c>
      <c r="AC39" s="469">
        <f t="shared" si="20"/>
        <v>311.12698372208087</v>
      </c>
      <c r="AD39" s="469">
        <f t="shared" si="20"/>
        <v>329.62755691286992</v>
      </c>
      <c r="AE39" s="469">
        <f t="shared" si="20"/>
        <v>349.22823143300388</v>
      </c>
      <c r="AF39" s="469">
        <f t="shared" si="20"/>
        <v>369.99442271163434</v>
      </c>
      <c r="AG39" s="469">
        <f t="shared" si="20"/>
        <v>391.99543598174927</v>
      </c>
      <c r="AH39" s="469">
        <f t="shared" si="20"/>
        <v>415.30469757994513</v>
      </c>
      <c r="AI39" s="469">
        <f t="shared" si="20"/>
        <v>440</v>
      </c>
      <c r="AJ39" s="469">
        <f t="shared" si="20"/>
        <v>466.16376151808993</v>
      </c>
      <c r="AK39" s="469">
        <f t="shared" si="20"/>
        <v>493.88330125612413</v>
      </c>
      <c r="AL39" s="469">
        <f t="shared" si="20"/>
        <v>523.25113060119736</v>
      </c>
      <c r="AM39" s="469">
        <f t="shared" si="20"/>
        <v>554.36526195374415</v>
      </c>
    </row>
    <row r="40" spans="1:39" x14ac:dyDescent="0.2">
      <c r="A40" t="s">
        <v>104</v>
      </c>
      <c r="B40" t="s">
        <v>906</v>
      </c>
      <c r="C40" s="596"/>
      <c r="D40" s="596"/>
      <c r="E40" s="596"/>
      <c r="F40" s="596"/>
      <c r="G40" s="596"/>
      <c r="H40" s="596"/>
      <c r="I40" s="596"/>
      <c r="J40" s="596"/>
      <c r="K40" s="596"/>
      <c r="L40" s="596"/>
      <c r="M40" s="596"/>
      <c r="N40" s="596"/>
      <c r="O40" s="596"/>
      <c r="P40" s="596"/>
      <c r="Q40" s="596"/>
      <c r="R40" s="596"/>
      <c r="S40" s="596"/>
      <c r="T40" s="596"/>
      <c r="U40" s="596"/>
      <c r="V40" s="596"/>
      <c r="W40" s="596"/>
      <c r="X40" s="596"/>
      <c r="Y40" s="596"/>
      <c r="Z40" s="596"/>
      <c r="AA40" s="596"/>
      <c r="AB40" s="596"/>
      <c r="AC40" s="596"/>
      <c r="AD40" s="596"/>
      <c r="AE40" s="596"/>
      <c r="AF40" s="596"/>
      <c r="AG40" s="596"/>
      <c r="AH40" s="596"/>
      <c r="AI40" s="596"/>
      <c r="AJ40" s="596"/>
      <c r="AK40" s="596"/>
      <c r="AL40" s="596"/>
      <c r="AM40" s="596"/>
    </row>
    <row r="41" spans="1:39" x14ac:dyDescent="0.2">
      <c r="A41" t="s">
        <v>929</v>
      </c>
      <c r="B41" t="s">
        <v>906</v>
      </c>
      <c r="C41" s="482">
        <f t="shared" ref="C41:AM41" si="21">C18*C25/C39</f>
        <v>11.536964491950448</v>
      </c>
      <c r="D41" s="482">
        <f t="shared" si="21"/>
        <v>10.889444430272833</v>
      </c>
      <c r="E41" s="482">
        <f t="shared" si="21"/>
        <v>10.278266877109264</v>
      </c>
      <c r="F41" s="482">
        <f t="shared" si="21"/>
        <v>9.7013920841905232</v>
      </c>
      <c r="G41" s="482">
        <f t="shared" si="21"/>
        <v>9.1568947855209508</v>
      </c>
      <c r="H41" s="482">
        <f t="shared" si="21"/>
        <v>8.6429577719821715</v>
      </c>
      <c r="I41" s="482">
        <f t="shared" si="21"/>
        <v>8.1578658265665709</v>
      </c>
      <c r="J41" s="482">
        <f t="shared" si="21"/>
        <v>7.7</v>
      </c>
      <c r="K41" s="482">
        <f t="shared" si="21"/>
        <v>7.2678322076490396</v>
      </c>
      <c r="L41" s="482">
        <f t="shared" si="21"/>
        <v>6.8599201296806109</v>
      </c>
      <c r="M41" s="482">
        <f t="shared" si="21"/>
        <v>6.4749023974536009</v>
      </c>
      <c r="N41" s="482">
        <f t="shared" si="21"/>
        <v>6.1114940500775674</v>
      </c>
      <c r="O41" s="482">
        <f t="shared" si="21"/>
        <v>5.7684822459752221</v>
      </c>
      <c r="P41" s="482">
        <f t="shared" si="21"/>
        <v>5.4447222151364141</v>
      </c>
      <c r="Q41" s="482">
        <f t="shared" si="21"/>
        <v>5.139133438554631</v>
      </c>
      <c r="R41" s="482">
        <f t="shared" si="21"/>
        <v>4.8506960420952607</v>
      </c>
      <c r="S41" s="482">
        <f t="shared" si="21"/>
        <v>4.5784473927604754</v>
      </c>
      <c r="T41" s="482">
        <f t="shared" si="21"/>
        <v>4.3214788859910849</v>
      </c>
      <c r="U41" s="482">
        <f t="shared" si="21"/>
        <v>4.0789329132832854</v>
      </c>
      <c r="V41" s="482">
        <f t="shared" si="21"/>
        <v>3.8499999999999992</v>
      </c>
      <c r="W41" s="482">
        <f t="shared" si="21"/>
        <v>30.8</v>
      </c>
      <c r="X41" s="482">
        <f t="shared" si="21"/>
        <v>29.071328830596165</v>
      </c>
      <c r="Y41" s="482">
        <f t="shared" si="21"/>
        <v>27.439680518722454</v>
      </c>
      <c r="Z41" s="482">
        <f t="shared" si="21"/>
        <v>25.899609589814411</v>
      </c>
      <c r="AA41" s="482">
        <f t="shared" si="21"/>
        <v>24.445976200310277</v>
      </c>
      <c r="AB41" s="482">
        <f t="shared" si="21"/>
        <v>23.073928983900899</v>
      </c>
      <c r="AC41" s="482">
        <f t="shared" si="21"/>
        <v>21.778888860545671</v>
      </c>
      <c r="AD41" s="482">
        <f t="shared" si="21"/>
        <v>20.556533754218531</v>
      </c>
      <c r="AE41" s="482">
        <f t="shared" si="21"/>
        <v>19.402784168381046</v>
      </c>
      <c r="AF41" s="482">
        <f t="shared" si="21"/>
        <v>18.313789571041909</v>
      </c>
      <c r="AG41" s="482">
        <f t="shared" si="21"/>
        <v>17.285915543964347</v>
      </c>
      <c r="AH41" s="482">
        <f t="shared" si="21"/>
        <v>16.315731653133149</v>
      </c>
      <c r="AI41" s="482">
        <f t="shared" si="21"/>
        <v>15.4</v>
      </c>
      <c r="AJ41" s="482">
        <f t="shared" si="21"/>
        <v>14.535664415298079</v>
      </c>
      <c r="AK41" s="482">
        <f t="shared" si="21"/>
        <v>13.719840259361225</v>
      </c>
      <c r="AL41" s="482">
        <f t="shared" si="21"/>
        <v>12.949804794907202</v>
      </c>
      <c r="AM41" s="482">
        <f t="shared" si="21"/>
        <v>12.222988100155138</v>
      </c>
    </row>
    <row r="42" spans="1:39" x14ac:dyDescent="0.2">
      <c r="A42" t="s">
        <v>52</v>
      </c>
      <c r="C42" t="s">
        <v>210</v>
      </c>
      <c r="D42" t="s">
        <v>211</v>
      </c>
      <c r="E42" t="s">
        <v>941</v>
      </c>
      <c r="F42" t="s">
        <v>212</v>
      </c>
      <c r="G42" t="s">
        <v>942</v>
      </c>
      <c r="H42" t="s">
        <v>725</v>
      </c>
      <c r="I42" t="s">
        <v>943</v>
      </c>
      <c r="J42" t="s">
        <v>734</v>
      </c>
      <c r="K42" t="s">
        <v>737</v>
      </c>
      <c r="L42" t="s">
        <v>944</v>
      </c>
      <c r="M42" t="s">
        <v>740</v>
      </c>
      <c r="N42" t="s">
        <v>945</v>
      </c>
      <c r="O42" t="s">
        <v>744</v>
      </c>
      <c r="P42" t="s">
        <v>746</v>
      </c>
      <c r="Q42" t="s">
        <v>946</v>
      </c>
      <c r="R42" t="s">
        <v>749</v>
      </c>
      <c r="S42" t="s">
        <v>947</v>
      </c>
      <c r="T42" t="s">
        <v>887</v>
      </c>
      <c r="U42" t="s">
        <v>948</v>
      </c>
      <c r="V42" t="s">
        <v>888</v>
      </c>
      <c r="W42" t="s">
        <v>209</v>
      </c>
      <c r="X42" t="s">
        <v>6</v>
      </c>
      <c r="Y42" t="s">
        <v>276</v>
      </c>
      <c r="Z42" t="s">
        <v>8</v>
      </c>
      <c r="AA42" t="s">
        <v>937</v>
      </c>
      <c r="AB42" t="s">
        <v>10</v>
      </c>
      <c r="AC42" t="s">
        <v>240</v>
      </c>
      <c r="AD42" t="s">
        <v>275</v>
      </c>
      <c r="AE42" t="s">
        <v>13</v>
      </c>
      <c r="AF42" t="s">
        <v>938</v>
      </c>
      <c r="AG42" t="s">
        <v>15</v>
      </c>
      <c r="AH42" t="s">
        <v>939</v>
      </c>
      <c r="AI42" t="s">
        <v>17</v>
      </c>
      <c r="AJ42" t="s">
        <v>18</v>
      </c>
      <c r="AK42" t="s">
        <v>936</v>
      </c>
      <c r="AL42" t="s">
        <v>20</v>
      </c>
      <c r="AM42" t="s">
        <v>940</v>
      </c>
    </row>
    <row r="43" spans="1:39" x14ac:dyDescent="0.2">
      <c r="A43" t="s">
        <v>931</v>
      </c>
      <c r="B43" t="s">
        <v>917</v>
      </c>
      <c r="C43" s="481">
        <f t="shared" ref="C43:AM43" si="22">((2^(1/12))^(C4+9-49))*440</f>
        <v>659.25511382573995</v>
      </c>
      <c r="D43" s="481">
        <f t="shared" si="22"/>
        <v>698.45646286600777</v>
      </c>
      <c r="E43" s="481">
        <f t="shared" si="22"/>
        <v>739.98884542326891</v>
      </c>
      <c r="F43" s="481">
        <f t="shared" si="22"/>
        <v>783.99087196349865</v>
      </c>
      <c r="G43" s="481">
        <f t="shared" si="22"/>
        <v>830.60939515989048</v>
      </c>
      <c r="H43" s="481">
        <f t="shared" si="22"/>
        <v>880</v>
      </c>
      <c r="I43" s="481">
        <f t="shared" si="22"/>
        <v>932.32752303617985</v>
      </c>
      <c r="J43" s="481">
        <f t="shared" si="22"/>
        <v>987.76660251224848</v>
      </c>
      <c r="K43" s="481">
        <f t="shared" si="22"/>
        <v>1046.5022612023947</v>
      </c>
      <c r="L43" s="481">
        <f t="shared" si="22"/>
        <v>1108.7305239074885</v>
      </c>
      <c r="M43" s="481">
        <f t="shared" si="22"/>
        <v>1174.6590716696305</v>
      </c>
      <c r="N43" s="481">
        <f t="shared" si="22"/>
        <v>1244.5079348883239</v>
      </c>
      <c r="O43" s="481">
        <f t="shared" si="22"/>
        <v>1318.5102276514801</v>
      </c>
      <c r="P43" s="481">
        <f t="shared" si="22"/>
        <v>1396.9129257320158</v>
      </c>
      <c r="Q43" s="481">
        <f t="shared" si="22"/>
        <v>1479.9776908465378</v>
      </c>
      <c r="R43" s="481">
        <f t="shared" si="22"/>
        <v>1567.9817439269975</v>
      </c>
      <c r="S43" s="481">
        <f t="shared" si="22"/>
        <v>1661.2187903197812</v>
      </c>
      <c r="T43" s="481">
        <f t="shared" si="22"/>
        <v>1760.0000000000005</v>
      </c>
      <c r="U43" s="481">
        <f t="shared" si="22"/>
        <v>1864.6550460723602</v>
      </c>
      <c r="V43" s="481">
        <f t="shared" si="22"/>
        <v>1975.533205024497</v>
      </c>
      <c r="W43" s="469">
        <f t="shared" si="22"/>
        <v>246.94165062806201</v>
      </c>
      <c r="X43" s="469">
        <f t="shared" si="22"/>
        <v>261.62556530059862</v>
      </c>
      <c r="Y43" s="469">
        <f t="shared" si="22"/>
        <v>277.18263097687208</v>
      </c>
      <c r="Z43" s="469">
        <f t="shared" si="22"/>
        <v>293.66476791740752</v>
      </c>
      <c r="AA43" s="469">
        <f t="shared" si="22"/>
        <v>311.12698372208087</v>
      </c>
      <c r="AB43" s="469">
        <f t="shared" si="22"/>
        <v>329.62755691286992</v>
      </c>
      <c r="AC43" s="469">
        <f t="shared" si="22"/>
        <v>349.22823143300388</v>
      </c>
      <c r="AD43" s="469">
        <f t="shared" si="22"/>
        <v>369.99442271163434</v>
      </c>
      <c r="AE43" s="469">
        <f t="shared" si="22"/>
        <v>391.99543598174927</v>
      </c>
      <c r="AF43" s="469">
        <f t="shared" si="22"/>
        <v>415.30469757994513</v>
      </c>
      <c r="AG43" s="469">
        <f t="shared" si="22"/>
        <v>440</v>
      </c>
      <c r="AH43" s="469">
        <f t="shared" si="22"/>
        <v>466.16376151808993</v>
      </c>
      <c r="AI43" s="469">
        <f t="shared" si="22"/>
        <v>493.88330125612413</v>
      </c>
      <c r="AJ43" s="469">
        <f t="shared" si="22"/>
        <v>523.25113060119736</v>
      </c>
      <c r="AK43" s="469">
        <f t="shared" si="22"/>
        <v>554.36526195374415</v>
      </c>
      <c r="AL43" s="469">
        <f t="shared" si="22"/>
        <v>587.32953583481515</v>
      </c>
      <c r="AM43" s="469">
        <f t="shared" si="22"/>
        <v>622.25396744416184</v>
      </c>
    </row>
    <row r="44" spans="1:39" x14ac:dyDescent="0.2">
      <c r="A44" t="s">
        <v>106</v>
      </c>
      <c r="B44" t="s">
        <v>906</v>
      </c>
      <c r="C44" s="596"/>
      <c r="D44" s="596"/>
      <c r="E44" s="596"/>
      <c r="F44" s="596"/>
      <c r="G44" s="596"/>
      <c r="H44" s="596"/>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596"/>
      <c r="AH44" s="596"/>
      <c r="AI44" s="596"/>
      <c r="AJ44" s="596"/>
      <c r="AK44" s="596"/>
      <c r="AL44" s="596"/>
      <c r="AM44" s="596"/>
    </row>
    <row r="45" spans="1:39" x14ac:dyDescent="0.2">
      <c r="A45" t="s">
        <v>932</v>
      </c>
      <c r="B45" t="s">
        <v>906</v>
      </c>
      <c r="C45" s="482">
        <f t="shared" ref="C45:AM45" si="23">C18*C25/C43</f>
        <v>10.278266877109264</v>
      </c>
      <c r="D45" s="482">
        <f t="shared" si="23"/>
        <v>9.701392084190525</v>
      </c>
      <c r="E45" s="482">
        <f t="shared" si="23"/>
        <v>9.1568947855209508</v>
      </c>
      <c r="F45" s="482">
        <f t="shared" si="23"/>
        <v>8.6429577719821715</v>
      </c>
      <c r="G45" s="482">
        <f t="shared" si="23"/>
        <v>8.1578658265665709</v>
      </c>
      <c r="H45" s="482">
        <f t="shared" si="23"/>
        <v>7.7</v>
      </c>
      <c r="I45" s="482">
        <f t="shared" si="23"/>
        <v>7.2678322076490396</v>
      </c>
      <c r="J45" s="482">
        <f t="shared" si="23"/>
        <v>6.8599201296806109</v>
      </c>
      <c r="K45" s="482">
        <f t="shared" si="23"/>
        <v>6.4749023974536009</v>
      </c>
      <c r="L45" s="482">
        <f t="shared" si="23"/>
        <v>6.1114940500775674</v>
      </c>
      <c r="M45" s="482">
        <f t="shared" si="23"/>
        <v>5.7684822459752221</v>
      </c>
      <c r="N45" s="482">
        <f t="shared" si="23"/>
        <v>5.444722215136415</v>
      </c>
      <c r="O45" s="482">
        <f t="shared" si="23"/>
        <v>5.139133438554631</v>
      </c>
      <c r="P45" s="482">
        <f t="shared" si="23"/>
        <v>4.8506960420952598</v>
      </c>
      <c r="Q45" s="482">
        <f t="shared" si="23"/>
        <v>4.5784473927604754</v>
      </c>
      <c r="R45" s="482">
        <f t="shared" si="23"/>
        <v>4.3214788859910849</v>
      </c>
      <c r="S45" s="482">
        <f t="shared" si="23"/>
        <v>4.0789329132832854</v>
      </c>
      <c r="T45" s="482">
        <f t="shared" si="23"/>
        <v>3.8499999999999992</v>
      </c>
      <c r="U45" s="482">
        <f t="shared" si="23"/>
        <v>3.6339161038245189</v>
      </c>
      <c r="V45" s="482">
        <f t="shared" si="23"/>
        <v>3.4299600648403055</v>
      </c>
      <c r="W45" s="482">
        <f t="shared" si="23"/>
        <v>27.439680518722454</v>
      </c>
      <c r="X45" s="482">
        <f t="shared" si="23"/>
        <v>25.899609589814411</v>
      </c>
      <c r="Y45" s="482">
        <f t="shared" si="23"/>
        <v>24.445976200310273</v>
      </c>
      <c r="Z45" s="482">
        <f t="shared" si="23"/>
        <v>23.073928983900899</v>
      </c>
      <c r="AA45" s="482">
        <f t="shared" si="23"/>
        <v>21.778888860545671</v>
      </c>
      <c r="AB45" s="482">
        <f t="shared" si="23"/>
        <v>20.556533754218531</v>
      </c>
      <c r="AC45" s="482">
        <f t="shared" si="23"/>
        <v>19.40278416838105</v>
      </c>
      <c r="AD45" s="482">
        <f t="shared" si="23"/>
        <v>18.313789571041909</v>
      </c>
      <c r="AE45" s="482">
        <f t="shared" si="23"/>
        <v>17.285915543964347</v>
      </c>
      <c r="AF45" s="482">
        <f t="shared" si="23"/>
        <v>16.315731653133149</v>
      </c>
      <c r="AG45" s="482">
        <f t="shared" si="23"/>
        <v>15.4</v>
      </c>
      <c r="AH45" s="482">
        <f t="shared" si="23"/>
        <v>14.535664415298079</v>
      </c>
      <c r="AI45" s="482">
        <f t="shared" si="23"/>
        <v>13.719840259361225</v>
      </c>
      <c r="AJ45" s="482">
        <f t="shared" si="23"/>
        <v>12.949804794907202</v>
      </c>
      <c r="AK45" s="482">
        <f t="shared" si="23"/>
        <v>12.222988100155137</v>
      </c>
      <c r="AL45" s="482">
        <f t="shared" si="23"/>
        <v>11.536964491950448</v>
      </c>
      <c r="AM45" s="482">
        <f t="shared" si="23"/>
        <v>10.889444430272833</v>
      </c>
    </row>
    <row r="46" spans="1:39" x14ac:dyDescent="0.2">
      <c r="A46" t="s">
        <v>57</v>
      </c>
      <c r="C46" t="s">
        <v>941</v>
      </c>
      <c r="D46" t="s">
        <v>212</v>
      </c>
      <c r="E46" t="s">
        <v>942</v>
      </c>
      <c r="F46" t="s">
        <v>725</v>
      </c>
      <c r="G46" t="s">
        <v>943</v>
      </c>
      <c r="H46" t="s">
        <v>734</v>
      </c>
      <c r="I46" t="s">
        <v>737</v>
      </c>
      <c r="J46" t="s">
        <v>944</v>
      </c>
      <c r="K46" t="s">
        <v>740</v>
      </c>
      <c r="L46" t="s">
        <v>945</v>
      </c>
      <c r="M46" t="s">
        <v>744</v>
      </c>
      <c r="N46" t="s">
        <v>746</v>
      </c>
      <c r="O46" t="s">
        <v>946</v>
      </c>
      <c r="P46" t="s">
        <v>749</v>
      </c>
      <c r="Q46" t="s">
        <v>947</v>
      </c>
      <c r="R46" t="s">
        <v>887</v>
      </c>
      <c r="S46" t="s">
        <v>948</v>
      </c>
      <c r="T46" t="s">
        <v>888</v>
      </c>
      <c r="U46" t="s">
        <v>889</v>
      </c>
      <c r="V46" t="s">
        <v>949</v>
      </c>
      <c r="W46" t="s">
        <v>276</v>
      </c>
      <c r="X46" t="s">
        <v>8</v>
      </c>
      <c r="Y46" t="s">
        <v>937</v>
      </c>
      <c r="Z46" t="s">
        <v>10</v>
      </c>
      <c r="AA46" t="s">
        <v>240</v>
      </c>
      <c r="AB46" t="s">
        <v>275</v>
      </c>
      <c r="AC46" t="s">
        <v>13</v>
      </c>
      <c r="AD46" t="s">
        <v>938</v>
      </c>
      <c r="AE46" t="s">
        <v>15</v>
      </c>
      <c r="AF46" t="s">
        <v>939</v>
      </c>
      <c r="AG46" t="s">
        <v>17</v>
      </c>
      <c r="AH46" t="s">
        <v>18</v>
      </c>
      <c r="AI46" t="s">
        <v>936</v>
      </c>
      <c r="AJ46" t="s">
        <v>20</v>
      </c>
      <c r="AK46" t="s">
        <v>940</v>
      </c>
      <c r="AL46" t="s">
        <v>210</v>
      </c>
      <c r="AM46" t="s">
        <v>211</v>
      </c>
    </row>
    <row r="47" spans="1:39" x14ac:dyDescent="0.2">
      <c r="A47" t="s">
        <v>934</v>
      </c>
      <c r="B47" t="s">
        <v>917</v>
      </c>
      <c r="C47" s="481">
        <f t="shared" ref="C47:AM47" si="24">((2^(1/12))^(C4+11-49))*440</f>
        <v>739.98884542326891</v>
      </c>
      <c r="D47" s="481">
        <f t="shared" si="24"/>
        <v>783.99087196349865</v>
      </c>
      <c r="E47" s="481">
        <f t="shared" si="24"/>
        <v>830.60939515989048</v>
      </c>
      <c r="F47" s="481">
        <f t="shared" si="24"/>
        <v>880</v>
      </c>
      <c r="G47" s="481">
        <f t="shared" si="24"/>
        <v>932.32752303617985</v>
      </c>
      <c r="H47" s="481">
        <f t="shared" si="24"/>
        <v>987.76660251224848</v>
      </c>
      <c r="I47" s="481">
        <f t="shared" si="24"/>
        <v>1046.5022612023947</v>
      </c>
      <c r="J47" s="481">
        <f t="shared" si="24"/>
        <v>1108.7305239074885</v>
      </c>
      <c r="K47" s="481">
        <f t="shared" si="24"/>
        <v>1174.6590716696305</v>
      </c>
      <c r="L47" s="481">
        <f t="shared" si="24"/>
        <v>1244.5079348883239</v>
      </c>
      <c r="M47" s="481">
        <f t="shared" si="24"/>
        <v>1318.5102276514801</v>
      </c>
      <c r="N47" s="481">
        <f t="shared" si="24"/>
        <v>1396.9129257320158</v>
      </c>
      <c r="O47" s="481">
        <f t="shared" si="24"/>
        <v>1479.9776908465378</v>
      </c>
      <c r="P47" s="481">
        <f t="shared" si="24"/>
        <v>1567.9817439269975</v>
      </c>
      <c r="Q47" s="481">
        <f t="shared" si="24"/>
        <v>1661.2187903197812</v>
      </c>
      <c r="R47" s="481">
        <f t="shared" si="24"/>
        <v>1760.0000000000005</v>
      </c>
      <c r="S47" s="481">
        <f t="shared" si="24"/>
        <v>1864.6550460723602</v>
      </c>
      <c r="T47" s="481">
        <f t="shared" si="24"/>
        <v>1975.533205024497</v>
      </c>
      <c r="U47" s="481">
        <f t="shared" si="24"/>
        <v>2093.0045224047904</v>
      </c>
      <c r="V47" s="481">
        <f t="shared" si="24"/>
        <v>2217.4610478149771</v>
      </c>
      <c r="W47" s="469">
        <f t="shared" si="24"/>
        <v>277.18263097687208</v>
      </c>
      <c r="X47" s="469">
        <f t="shared" si="24"/>
        <v>293.66476791740752</v>
      </c>
      <c r="Y47" s="469">
        <f t="shared" si="24"/>
        <v>311.12698372208087</v>
      </c>
      <c r="Z47" s="469">
        <f t="shared" si="24"/>
        <v>329.62755691286992</v>
      </c>
      <c r="AA47" s="469">
        <f t="shared" si="24"/>
        <v>349.22823143300388</v>
      </c>
      <c r="AB47" s="469">
        <f t="shared" si="24"/>
        <v>369.99442271163434</v>
      </c>
      <c r="AC47" s="469">
        <f t="shared" si="24"/>
        <v>391.99543598174927</v>
      </c>
      <c r="AD47" s="469">
        <f t="shared" si="24"/>
        <v>415.30469757994513</v>
      </c>
      <c r="AE47" s="469">
        <f t="shared" si="24"/>
        <v>440</v>
      </c>
      <c r="AF47" s="469">
        <f t="shared" si="24"/>
        <v>466.16376151808993</v>
      </c>
      <c r="AG47" s="469">
        <f t="shared" si="24"/>
        <v>493.88330125612413</v>
      </c>
      <c r="AH47" s="469">
        <f t="shared" si="24"/>
        <v>523.25113060119736</v>
      </c>
      <c r="AI47" s="469">
        <f t="shared" si="24"/>
        <v>554.36526195374415</v>
      </c>
      <c r="AJ47" s="469">
        <f t="shared" si="24"/>
        <v>587.32953583481515</v>
      </c>
      <c r="AK47" s="469">
        <f t="shared" si="24"/>
        <v>622.25396744416184</v>
      </c>
      <c r="AL47" s="469">
        <f t="shared" si="24"/>
        <v>659.25511382573995</v>
      </c>
      <c r="AM47" s="469">
        <f t="shared" si="24"/>
        <v>698.45646286600777</v>
      </c>
    </row>
    <row r="48" spans="1:39" x14ac:dyDescent="0.2">
      <c r="A48" t="s">
        <v>108</v>
      </c>
      <c r="B48" t="s">
        <v>906</v>
      </c>
      <c r="C48" s="596"/>
      <c r="D48" s="596"/>
      <c r="E48" s="596"/>
      <c r="F48" s="596"/>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6"/>
      <c r="AH48" s="596"/>
      <c r="AI48" s="596"/>
      <c r="AJ48" s="596"/>
      <c r="AK48" s="596"/>
      <c r="AL48" s="596"/>
      <c r="AM48" s="596"/>
    </row>
    <row r="49" spans="1:39" x14ac:dyDescent="0.2">
      <c r="A49" t="s">
        <v>935</v>
      </c>
      <c r="B49" t="s">
        <v>906</v>
      </c>
      <c r="C49" s="482">
        <f t="shared" ref="C49:AM49" si="25">C18*C25/C47</f>
        <v>9.1568947855209526</v>
      </c>
      <c r="D49" s="482">
        <f t="shared" si="25"/>
        <v>8.6429577719821733</v>
      </c>
      <c r="E49" s="482">
        <f t="shared" si="25"/>
        <v>8.1578658265665709</v>
      </c>
      <c r="F49" s="482">
        <f t="shared" si="25"/>
        <v>7.7</v>
      </c>
      <c r="G49" s="482">
        <f t="shared" si="25"/>
        <v>7.2678322076490396</v>
      </c>
      <c r="H49" s="482">
        <f t="shared" si="25"/>
        <v>6.8599201296806109</v>
      </c>
      <c r="I49" s="482">
        <f t="shared" si="25"/>
        <v>6.4749023974536009</v>
      </c>
      <c r="J49" s="482">
        <f t="shared" si="25"/>
        <v>6.1114940500775674</v>
      </c>
      <c r="K49" s="482">
        <f t="shared" si="25"/>
        <v>5.7684822459752221</v>
      </c>
      <c r="L49" s="482">
        <f t="shared" si="25"/>
        <v>5.444722215136415</v>
      </c>
      <c r="M49" s="482">
        <f t="shared" si="25"/>
        <v>5.139133438554631</v>
      </c>
      <c r="N49" s="482">
        <f t="shared" si="25"/>
        <v>4.8506960420952607</v>
      </c>
      <c r="O49" s="482">
        <f t="shared" si="25"/>
        <v>4.5784473927604754</v>
      </c>
      <c r="P49" s="482">
        <f t="shared" si="25"/>
        <v>4.3214788859910849</v>
      </c>
      <c r="Q49" s="482">
        <f t="shared" si="25"/>
        <v>4.0789329132832854</v>
      </c>
      <c r="R49" s="482">
        <f t="shared" si="25"/>
        <v>3.8499999999999992</v>
      </c>
      <c r="S49" s="482">
        <f t="shared" si="25"/>
        <v>3.6339161038245189</v>
      </c>
      <c r="T49" s="482">
        <f t="shared" si="25"/>
        <v>3.4299600648403055</v>
      </c>
      <c r="U49" s="482">
        <f t="shared" si="25"/>
        <v>3.2374511987267991</v>
      </c>
      <c r="V49" s="482">
        <f t="shared" si="25"/>
        <v>3.0557470250387837</v>
      </c>
      <c r="W49" s="482">
        <f t="shared" si="25"/>
        <v>24.445976200310273</v>
      </c>
      <c r="X49" s="482">
        <f t="shared" si="25"/>
        <v>23.073928983900899</v>
      </c>
      <c r="Y49" s="482">
        <f t="shared" si="25"/>
        <v>21.778888860545667</v>
      </c>
      <c r="Z49" s="482">
        <f t="shared" si="25"/>
        <v>20.556533754218531</v>
      </c>
      <c r="AA49" s="482">
        <f t="shared" si="25"/>
        <v>19.40278416838105</v>
      </c>
      <c r="AB49" s="482">
        <f t="shared" si="25"/>
        <v>18.313789571041909</v>
      </c>
      <c r="AC49" s="482">
        <f t="shared" si="25"/>
        <v>17.285915543964347</v>
      </c>
      <c r="AD49" s="482">
        <f t="shared" si="25"/>
        <v>16.315731653133149</v>
      </c>
      <c r="AE49" s="482">
        <f t="shared" si="25"/>
        <v>15.4</v>
      </c>
      <c r="AF49" s="482">
        <f t="shared" si="25"/>
        <v>14.535664415298079</v>
      </c>
      <c r="AG49" s="482">
        <f t="shared" si="25"/>
        <v>13.719840259361225</v>
      </c>
      <c r="AH49" s="482">
        <f t="shared" si="25"/>
        <v>12.949804794907202</v>
      </c>
      <c r="AI49" s="482">
        <f t="shared" si="25"/>
        <v>12.222988100155137</v>
      </c>
      <c r="AJ49" s="482">
        <f t="shared" si="25"/>
        <v>11.536964491950448</v>
      </c>
      <c r="AK49" s="482">
        <f t="shared" si="25"/>
        <v>10.889444430272832</v>
      </c>
      <c r="AL49" s="482">
        <f t="shared" si="25"/>
        <v>10.278266877109264</v>
      </c>
      <c r="AM49" s="482">
        <f t="shared" si="25"/>
        <v>9.701392084190525</v>
      </c>
    </row>
    <row r="50" spans="1:39" x14ac:dyDescent="0.2">
      <c r="A50" t="s">
        <v>1088</v>
      </c>
      <c r="C50" t="s">
        <v>212</v>
      </c>
      <c r="D50" t="s">
        <v>942</v>
      </c>
      <c r="E50" t="s">
        <v>725</v>
      </c>
      <c r="F50" t="s">
        <v>943</v>
      </c>
      <c r="G50" t="s">
        <v>734</v>
      </c>
      <c r="H50" t="s">
        <v>737</v>
      </c>
      <c r="I50" t="s">
        <v>944</v>
      </c>
      <c r="J50" t="s">
        <v>740</v>
      </c>
      <c r="K50" t="s">
        <v>945</v>
      </c>
      <c r="L50" t="s">
        <v>744</v>
      </c>
      <c r="M50" t="s">
        <v>746</v>
      </c>
      <c r="N50" t="s">
        <v>946</v>
      </c>
      <c r="O50" t="s">
        <v>749</v>
      </c>
      <c r="P50" t="s">
        <v>947</v>
      </c>
      <c r="Q50" t="s">
        <v>887</v>
      </c>
      <c r="R50" t="s">
        <v>948</v>
      </c>
      <c r="S50" t="s">
        <v>888</v>
      </c>
      <c r="T50" t="s">
        <v>889</v>
      </c>
      <c r="U50" t="s">
        <v>949</v>
      </c>
      <c r="V50" t="s">
        <v>891</v>
      </c>
      <c r="W50" t="s">
        <v>8</v>
      </c>
      <c r="X50" t="s">
        <v>937</v>
      </c>
      <c r="Y50" t="s">
        <v>10</v>
      </c>
      <c r="Z50" t="s">
        <v>240</v>
      </c>
      <c r="AA50" t="s">
        <v>275</v>
      </c>
      <c r="AB50" t="s">
        <v>13</v>
      </c>
      <c r="AC50" t="s">
        <v>938</v>
      </c>
      <c r="AD50" t="s">
        <v>15</v>
      </c>
      <c r="AE50" t="s">
        <v>939</v>
      </c>
      <c r="AF50" t="s">
        <v>17</v>
      </c>
      <c r="AG50" t="s">
        <v>18</v>
      </c>
      <c r="AH50" t="s">
        <v>936</v>
      </c>
      <c r="AI50" t="s">
        <v>20</v>
      </c>
      <c r="AJ50" t="s">
        <v>940</v>
      </c>
      <c r="AK50" t="s">
        <v>210</v>
      </c>
      <c r="AL50" t="s">
        <v>211</v>
      </c>
      <c r="AM50" t="s">
        <v>941</v>
      </c>
    </row>
    <row r="51" spans="1:39" x14ac:dyDescent="0.2">
      <c r="A51" t="s">
        <v>1089</v>
      </c>
      <c r="B51" t="s">
        <v>917</v>
      </c>
      <c r="C51" s="481">
        <f t="shared" ref="C51:AM51" si="26">((2^(1/12))^(C4+12-49))*440</f>
        <v>783.99087196349865</v>
      </c>
      <c r="D51" s="481">
        <f t="shared" si="26"/>
        <v>830.60939515989048</v>
      </c>
      <c r="E51" s="481">
        <f t="shared" si="26"/>
        <v>880</v>
      </c>
      <c r="F51" s="481">
        <f t="shared" si="26"/>
        <v>932.32752303617985</v>
      </c>
      <c r="G51" s="481">
        <f t="shared" si="26"/>
        <v>987.76660251224848</v>
      </c>
      <c r="H51" s="481">
        <f t="shared" si="26"/>
        <v>1046.5022612023947</v>
      </c>
      <c r="I51" s="481">
        <f t="shared" si="26"/>
        <v>1108.7305239074885</v>
      </c>
      <c r="J51" s="481">
        <f t="shared" si="26"/>
        <v>1174.6590716696305</v>
      </c>
      <c r="K51" s="481">
        <f t="shared" si="26"/>
        <v>1244.5079348883239</v>
      </c>
      <c r="L51" s="481">
        <f t="shared" si="26"/>
        <v>1318.5102276514801</v>
      </c>
      <c r="M51" s="481">
        <f t="shared" si="26"/>
        <v>1396.9129257320158</v>
      </c>
      <c r="N51" s="481">
        <f t="shared" si="26"/>
        <v>1479.9776908465378</v>
      </c>
      <c r="O51" s="481">
        <f t="shared" si="26"/>
        <v>1567.9817439269975</v>
      </c>
      <c r="P51" s="481">
        <f t="shared" si="26"/>
        <v>1661.2187903197812</v>
      </c>
      <c r="Q51" s="481">
        <f t="shared" si="26"/>
        <v>1760.0000000000005</v>
      </c>
      <c r="R51" s="481">
        <f t="shared" si="26"/>
        <v>1864.6550460723602</v>
      </c>
      <c r="S51" s="481">
        <f t="shared" si="26"/>
        <v>1975.533205024497</v>
      </c>
      <c r="T51" s="481">
        <f t="shared" si="26"/>
        <v>2093.0045224047904</v>
      </c>
      <c r="U51" s="481">
        <f t="shared" si="26"/>
        <v>2217.4610478149771</v>
      </c>
      <c r="V51" s="481">
        <f t="shared" si="26"/>
        <v>2349.318143339261</v>
      </c>
      <c r="W51" s="469">
        <f t="shared" si="26"/>
        <v>293.66476791740752</v>
      </c>
      <c r="X51" s="469">
        <f t="shared" si="26"/>
        <v>311.12698372208087</v>
      </c>
      <c r="Y51" s="469">
        <f t="shared" si="26"/>
        <v>329.62755691286992</v>
      </c>
      <c r="Z51" s="469">
        <f t="shared" si="26"/>
        <v>349.22823143300388</v>
      </c>
      <c r="AA51" s="469">
        <f t="shared" si="26"/>
        <v>369.99442271163434</v>
      </c>
      <c r="AB51" s="469">
        <f t="shared" si="26"/>
        <v>391.99543598174927</v>
      </c>
      <c r="AC51" s="469">
        <f t="shared" si="26"/>
        <v>415.30469757994513</v>
      </c>
      <c r="AD51" s="469">
        <f t="shared" si="26"/>
        <v>440</v>
      </c>
      <c r="AE51" s="469">
        <f t="shared" si="26"/>
        <v>466.16376151808993</v>
      </c>
      <c r="AF51" s="469">
        <f t="shared" si="26"/>
        <v>493.88330125612413</v>
      </c>
      <c r="AG51" s="469">
        <f t="shared" si="26"/>
        <v>523.25113060119736</v>
      </c>
      <c r="AH51" s="469">
        <f t="shared" si="26"/>
        <v>554.36526195374415</v>
      </c>
      <c r="AI51" s="469">
        <f t="shared" si="26"/>
        <v>587.32953583481515</v>
      </c>
      <c r="AJ51" s="469">
        <f t="shared" si="26"/>
        <v>622.25396744416184</v>
      </c>
      <c r="AK51" s="469">
        <f t="shared" si="26"/>
        <v>659.25511382573995</v>
      </c>
      <c r="AL51" s="469">
        <f t="shared" si="26"/>
        <v>698.45646286600777</v>
      </c>
      <c r="AM51" s="469">
        <f t="shared" si="26"/>
        <v>739.98884542326891</v>
      </c>
    </row>
    <row r="52" spans="1:39" x14ac:dyDescent="0.2">
      <c r="A52" t="s">
        <v>1090</v>
      </c>
      <c r="B52" t="s">
        <v>906</v>
      </c>
      <c r="C52" s="596"/>
      <c r="D52" s="596"/>
      <c r="E52" s="596"/>
      <c r="F52" s="596"/>
      <c r="G52" s="596"/>
      <c r="H52" s="596"/>
      <c r="I52" s="596"/>
      <c r="J52" s="596"/>
      <c r="K52" s="596"/>
      <c r="L52" s="596"/>
      <c r="M52" s="596"/>
      <c r="N52" s="596"/>
      <c r="O52" s="596"/>
      <c r="P52" s="596"/>
      <c r="Q52" s="596"/>
      <c r="R52" s="596"/>
      <c r="S52" s="596"/>
      <c r="T52" s="596"/>
      <c r="U52" s="596"/>
      <c r="V52" s="596"/>
      <c r="W52" s="596"/>
      <c r="X52" s="596"/>
      <c r="Y52" s="596"/>
      <c r="Z52" s="596"/>
      <c r="AA52" s="596"/>
      <c r="AB52" s="596"/>
      <c r="AC52" s="596"/>
      <c r="AD52" s="596"/>
      <c r="AE52" s="596"/>
      <c r="AF52" s="596"/>
      <c r="AG52" s="596"/>
      <c r="AH52" s="596"/>
      <c r="AI52" s="596"/>
      <c r="AJ52" s="596"/>
      <c r="AK52" s="596"/>
      <c r="AL52" s="596"/>
      <c r="AM52" s="596"/>
    </row>
    <row r="53" spans="1:39" x14ac:dyDescent="0.2">
      <c r="A53" t="s">
        <v>1091</v>
      </c>
      <c r="B53" t="s">
        <v>906</v>
      </c>
      <c r="C53" s="482">
        <f t="shared" ref="C53:AM53" si="27">C18*C25/C51</f>
        <v>8.6429577719821733</v>
      </c>
      <c r="D53" s="482">
        <f t="shared" si="27"/>
        <v>8.1578658265665727</v>
      </c>
      <c r="E53" s="482">
        <f t="shared" si="27"/>
        <v>7.7</v>
      </c>
      <c r="F53" s="482">
        <f t="shared" si="27"/>
        <v>7.2678322076490396</v>
      </c>
      <c r="G53" s="482">
        <f t="shared" si="27"/>
        <v>6.8599201296806109</v>
      </c>
      <c r="H53" s="482">
        <f t="shared" si="27"/>
        <v>6.4749023974536009</v>
      </c>
      <c r="I53" s="482">
        <f t="shared" si="27"/>
        <v>6.1114940500775674</v>
      </c>
      <c r="J53" s="482">
        <f t="shared" si="27"/>
        <v>5.7684822459752221</v>
      </c>
      <c r="K53" s="482">
        <f t="shared" si="27"/>
        <v>5.444722215136415</v>
      </c>
      <c r="L53" s="482">
        <f t="shared" si="27"/>
        <v>5.139133438554631</v>
      </c>
      <c r="M53" s="482">
        <f t="shared" si="27"/>
        <v>4.8506960420952607</v>
      </c>
      <c r="N53" s="482">
        <f t="shared" si="27"/>
        <v>4.5784473927604754</v>
      </c>
      <c r="O53" s="482">
        <f t="shared" si="27"/>
        <v>4.3214788859910849</v>
      </c>
      <c r="P53" s="482">
        <f t="shared" si="27"/>
        <v>4.0789329132832846</v>
      </c>
      <c r="Q53" s="482">
        <f t="shared" si="27"/>
        <v>3.8499999999999992</v>
      </c>
      <c r="R53" s="482">
        <f t="shared" si="27"/>
        <v>3.6339161038245189</v>
      </c>
      <c r="S53" s="482">
        <f t="shared" si="27"/>
        <v>3.4299600648403055</v>
      </c>
      <c r="T53" s="482">
        <f t="shared" si="27"/>
        <v>3.2374511987267991</v>
      </c>
      <c r="U53" s="482">
        <f t="shared" si="27"/>
        <v>3.0557470250387837</v>
      </c>
      <c r="V53" s="482">
        <f t="shared" si="27"/>
        <v>2.884241122987611</v>
      </c>
      <c r="W53" s="482">
        <f t="shared" si="27"/>
        <v>23.073928983900899</v>
      </c>
      <c r="X53" s="482">
        <f t="shared" si="27"/>
        <v>21.778888860545667</v>
      </c>
      <c r="Y53" s="482">
        <f t="shared" si="27"/>
        <v>20.556533754218531</v>
      </c>
      <c r="Z53" s="482">
        <f t="shared" si="27"/>
        <v>19.402784168381046</v>
      </c>
      <c r="AA53" s="482">
        <f t="shared" si="27"/>
        <v>18.313789571041909</v>
      </c>
      <c r="AB53" s="482">
        <f t="shared" si="27"/>
        <v>17.285915543964347</v>
      </c>
      <c r="AC53" s="482">
        <f t="shared" si="27"/>
        <v>16.315731653133149</v>
      </c>
      <c r="AD53" s="482">
        <f t="shared" si="27"/>
        <v>15.4</v>
      </c>
      <c r="AE53" s="482">
        <f t="shared" si="27"/>
        <v>14.535664415298079</v>
      </c>
      <c r="AF53" s="482">
        <f t="shared" si="27"/>
        <v>13.719840259361225</v>
      </c>
      <c r="AG53" s="482">
        <f t="shared" si="27"/>
        <v>12.949804794907202</v>
      </c>
      <c r="AH53" s="482">
        <f t="shared" si="27"/>
        <v>12.222988100155137</v>
      </c>
      <c r="AI53" s="482">
        <f t="shared" si="27"/>
        <v>11.536964491950448</v>
      </c>
      <c r="AJ53" s="482">
        <f t="shared" si="27"/>
        <v>10.889444430272832</v>
      </c>
      <c r="AK53" s="482">
        <f t="shared" si="27"/>
        <v>10.278266877109264</v>
      </c>
      <c r="AL53" s="482">
        <f t="shared" si="27"/>
        <v>9.7013920841905232</v>
      </c>
      <c r="AM53" s="482">
        <f t="shared" si="27"/>
        <v>9.1568947855209526</v>
      </c>
    </row>
    <row r="56" spans="1:39" ht="18" x14ac:dyDescent="0.25">
      <c r="A56" s="833" t="s">
        <v>6701</v>
      </c>
    </row>
    <row r="57" spans="1:39" x14ac:dyDescent="0.2">
      <c r="A57" s="734" t="s">
        <v>6702</v>
      </c>
    </row>
    <row r="59" spans="1:39" x14ac:dyDescent="0.2">
      <c r="A59" s="609" t="s">
        <v>6355</v>
      </c>
    </row>
    <row r="60" spans="1:39" x14ac:dyDescent="0.2">
      <c r="A60" t="s">
        <v>6703</v>
      </c>
    </row>
    <row r="61" spans="1:39" x14ac:dyDescent="0.2">
      <c r="A61" t="s">
        <v>6704</v>
      </c>
    </row>
    <row r="62" spans="1:39" x14ac:dyDescent="0.2">
      <c r="A62" t="s">
        <v>6705</v>
      </c>
    </row>
    <row r="63" spans="1:39" x14ac:dyDescent="0.2">
      <c r="A63" t="s">
        <v>6706</v>
      </c>
    </row>
    <row r="65" spans="1:1" x14ac:dyDescent="0.2">
      <c r="A65" s="609" t="s">
        <v>6359</v>
      </c>
    </row>
    <row r="66" spans="1:1" x14ac:dyDescent="0.2">
      <c r="A66" t="s">
        <v>6707</v>
      </c>
    </row>
    <row r="67" spans="1:1" x14ac:dyDescent="0.2">
      <c r="A67" t="s">
        <v>6708</v>
      </c>
    </row>
    <row r="68" spans="1:1" x14ac:dyDescent="0.2">
      <c r="A68" t="s">
        <v>6709</v>
      </c>
    </row>
    <row r="70" spans="1:1" x14ac:dyDescent="0.2">
      <c r="A70" s="609" t="s">
        <v>6654</v>
      </c>
    </row>
    <row r="71" spans="1:1" x14ac:dyDescent="0.2">
      <c r="A71" t="s">
        <v>6710</v>
      </c>
    </row>
    <row r="72" spans="1:1" x14ac:dyDescent="0.2">
      <c r="A72" t="s">
        <v>6711</v>
      </c>
    </row>
    <row r="73" spans="1:1" x14ac:dyDescent="0.2">
      <c r="A73" t="s">
        <v>6712</v>
      </c>
    </row>
    <row r="75" spans="1:1" x14ac:dyDescent="0.2">
      <c r="A75" s="609" t="s">
        <v>6658</v>
      </c>
    </row>
    <row r="76" spans="1:1" x14ac:dyDescent="0.2">
      <c r="A76" t="s">
        <v>6713</v>
      </c>
    </row>
    <row r="77" spans="1:1" x14ac:dyDescent="0.2">
      <c r="A77" t="s">
        <v>6714</v>
      </c>
    </row>
    <row r="79" spans="1:1" x14ac:dyDescent="0.2">
      <c r="A79" s="609" t="s">
        <v>6661</v>
      </c>
    </row>
    <row r="80" spans="1:1" x14ac:dyDescent="0.2">
      <c r="A80" t="s">
        <v>6715</v>
      </c>
    </row>
    <row r="81" spans="1:1" x14ac:dyDescent="0.2">
      <c r="A81" t="s">
        <v>6716</v>
      </c>
    </row>
    <row r="82" spans="1:1" x14ac:dyDescent="0.2">
      <c r="A82" t="s">
        <v>6717</v>
      </c>
    </row>
    <row r="84" spans="1:1" x14ac:dyDescent="0.2">
      <c r="A84" s="609" t="s">
        <v>6682</v>
      </c>
    </row>
    <row r="85" spans="1:1" x14ac:dyDescent="0.2">
      <c r="A85" t="s">
        <v>6718</v>
      </c>
    </row>
    <row r="88" spans="1:1" ht="18" x14ac:dyDescent="0.25">
      <c r="A88" s="838" t="s">
        <v>7225</v>
      </c>
    </row>
    <row r="89" spans="1:1" x14ac:dyDescent="0.2">
      <c r="A89" s="734" t="s">
        <v>7131</v>
      </c>
    </row>
    <row r="91" spans="1:1" x14ac:dyDescent="0.2">
      <c r="A91" s="839" t="s">
        <v>7132</v>
      </c>
    </row>
    <row r="92" spans="1:1" x14ac:dyDescent="0.2">
      <c r="A92" t="s">
        <v>7226</v>
      </c>
    </row>
    <row r="93" spans="1:1" x14ac:dyDescent="0.2">
      <c r="A93" t="s">
        <v>7227</v>
      </c>
    </row>
    <row r="94" spans="1:1" x14ac:dyDescent="0.2">
      <c r="A94" t="s">
        <v>7228</v>
      </c>
    </row>
    <row r="95" spans="1:1" x14ac:dyDescent="0.2">
      <c r="A95" t="s">
        <v>7229</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F9484-0B21-49D3-8A05-E8D498D1254A}">
  <dimension ref="A1:AC110"/>
  <sheetViews>
    <sheetView workbookViewId="0"/>
  </sheetViews>
  <sheetFormatPr defaultRowHeight="12.75" x14ac:dyDescent="0.2"/>
  <cols>
    <col min="1" max="1" width="137.140625" customWidth="1"/>
    <col min="2" max="2" width="38.140625" customWidth="1"/>
    <col min="3" max="29" width="14.28515625" customWidth="1"/>
  </cols>
  <sheetData>
    <row r="1" spans="1:29" ht="18" x14ac:dyDescent="0.25">
      <c r="A1" s="470" t="s">
        <v>1092</v>
      </c>
    </row>
    <row r="2" spans="1:29" x14ac:dyDescent="0.2">
      <c r="A2" s="537" t="s">
        <v>1093</v>
      </c>
    </row>
    <row r="3" spans="1:29" x14ac:dyDescent="0.2">
      <c r="A3" s="472" t="s">
        <v>1094</v>
      </c>
      <c r="B3" s="597" t="s">
        <v>1096</v>
      </c>
      <c r="C3" s="611" t="s">
        <v>6</v>
      </c>
      <c r="D3" s="611" t="s">
        <v>7</v>
      </c>
      <c r="E3" s="611" t="s">
        <v>8</v>
      </c>
      <c r="F3" s="611" t="s">
        <v>9</v>
      </c>
      <c r="G3" s="611" t="s">
        <v>10</v>
      </c>
      <c r="H3" s="611" t="s">
        <v>240</v>
      </c>
      <c r="I3" s="611" t="s">
        <v>12</v>
      </c>
      <c r="J3" s="611" t="s">
        <v>13</v>
      </c>
      <c r="K3" s="611" t="s">
        <v>14</v>
      </c>
      <c r="L3" s="611" t="s">
        <v>15</v>
      </c>
      <c r="M3" s="611" t="s">
        <v>16</v>
      </c>
      <c r="N3" s="611" t="s">
        <v>17</v>
      </c>
      <c r="O3" s="611" t="s">
        <v>18</v>
      </c>
      <c r="P3" s="611" t="s">
        <v>19</v>
      </c>
      <c r="Q3" s="611" t="s">
        <v>20</v>
      </c>
      <c r="R3" s="611" t="s">
        <v>35</v>
      </c>
      <c r="S3" s="611" t="s">
        <v>210</v>
      </c>
      <c r="T3" s="611" t="s">
        <v>211</v>
      </c>
      <c r="U3" s="611" t="s">
        <v>45</v>
      </c>
      <c r="V3" s="611" t="s">
        <v>212</v>
      </c>
      <c r="W3" s="611" t="s">
        <v>213</v>
      </c>
      <c r="X3" s="611" t="s">
        <v>725</v>
      </c>
      <c r="Y3" s="611" t="s">
        <v>53</v>
      </c>
      <c r="Z3" s="611" t="s">
        <v>734</v>
      </c>
      <c r="AA3" s="611" t="s">
        <v>737</v>
      </c>
      <c r="AB3" s="611" t="s">
        <v>214</v>
      </c>
      <c r="AC3" s="611" t="s">
        <v>740</v>
      </c>
    </row>
    <row r="4" spans="1:29" x14ac:dyDescent="0.2">
      <c r="A4" s="472" t="s">
        <v>1013</v>
      </c>
      <c r="B4" s="597" t="s">
        <v>1096</v>
      </c>
      <c r="C4" s="611">
        <v>40</v>
      </c>
      <c r="D4" s="611">
        <v>41</v>
      </c>
      <c r="E4" s="611">
        <v>42</v>
      </c>
      <c r="F4" s="611">
        <v>43</v>
      </c>
      <c r="G4" s="611">
        <v>44</v>
      </c>
      <c r="H4" s="611">
        <v>45</v>
      </c>
      <c r="I4" s="611">
        <v>46</v>
      </c>
      <c r="J4" s="611">
        <v>47</v>
      </c>
      <c r="K4" s="611">
        <v>48</v>
      </c>
      <c r="L4" s="611">
        <v>49</v>
      </c>
      <c r="M4" s="611">
        <v>50</v>
      </c>
      <c r="N4" s="611">
        <v>51</v>
      </c>
      <c r="O4" s="611">
        <v>52</v>
      </c>
      <c r="P4" s="611">
        <v>53</v>
      </c>
      <c r="Q4" s="611">
        <v>54</v>
      </c>
      <c r="R4" s="611">
        <v>55</v>
      </c>
      <c r="S4" s="611">
        <v>56</v>
      </c>
      <c r="T4" s="611">
        <v>57</v>
      </c>
      <c r="U4" s="611">
        <v>58</v>
      </c>
      <c r="V4" s="611">
        <v>59</v>
      </c>
      <c r="W4" s="611">
        <v>60</v>
      </c>
      <c r="X4" s="611">
        <v>61</v>
      </c>
      <c r="Y4" s="611">
        <v>62</v>
      </c>
      <c r="Z4" s="611">
        <v>63</v>
      </c>
      <c r="AA4" s="611">
        <v>64</v>
      </c>
      <c r="AB4" s="611">
        <v>65</v>
      </c>
      <c r="AC4" s="611">
        <v>66</v>
      </c>
    </row>
    <row r="5" spans="1:29" x14ac:dyDescent="0.2">
      <c r="A5" s="472" t="s">
        <v>1095</v>
      </c>
      <c r="B5" s="598" t="s">
        <v>1097</v>
      </c>
      <c r="C5" s="611" t="s">
        <v>11</v>
      </c>
      <c r="D5" s="611" t="s">
        <v>26</v>
      </c>
      <c r="E5" s="611" t="s">
        <v>27</v>
      </c>
      <c r="F5" s="611" t="s">
        <v>28</v>
      </c>
      <c r="G5" s="611" t="s">
        <v>29</v>
      </c>
      <c r="H5" s="611" t="s">
        <v>30</v>
      </c>
      <c r="I5" s="611" t="s">
        <v>31</v>
      </c>
      <c r="J5" s="611" t="s">
        <v>32</v>
      </c>
      <c r="K5" s="611" t="s">
        <v>33</v>
      </c>
      <c r="L5" s="611" t="s">
        <v>34</v>
      </c>
      <c r="M5" s="611" t="s">
        <v>40</v>
      </c>
      <c r="N5" s="611" t="s">
        <v>36</v>
      </c>
      <c r="O5" s="611" t="s">
        <v>37</v>
      </c>
      <c r="P5" s="611" t="s">
        <v>41</v>
      </c>
      <c r="Q5" s="611" t="s">
        <v>42</v>
      </c>
      <c r="R5" s="611" t="s">
        <v>46</v>
      </c>
      <c r="S5" s="611" t="s">
        <v>47</v>
      </c>
      <c r="T5" s="611" t="s">
        <v>50</v>
      </c>
      <c r="U5" s="611" t="s">
        <v>54</v>
      </c>
      <c r="V5" s="611" t="s">
        <v>55</v>
      </c>
      <c r="W5" s="611" t="s">
        <v>246</v>
      </c>
      <c r="X5" s="611" t="s">
        <v>58</v>
      </c>
      <c r="Y5" s="611" t="s">
        <v>255</v>
      </c>
      <c r="Z5" s="611" t="s">
        <v>248</v>
      </c>
      <c r="AA5" s="611" t="s">
        <v>249</v>
      </c>
      <c r="AB5" s="611" t="s">
        <v>256</v>
      </c>
      <c r="AC5" s="611" t="s">
        <v>257</v>
      </c>
    </row>
    <row r="7" spans="1:29" ht="15" x14ac:dyDescent="0.25">
      <c r="A7" s="599" t="s">
        <v>1098</v>
      </c>
      <c r="B7" s="606"/>
      <c r="C7" s="606"/>
      <c r="D7" s="606"/>
      <c r="E7" s="606"/>
      <c r="F7" s="606"/>
      <c r="G7" s="606"/>
      <c r="H7" s="606"/>
      <c r="I7" s="606"/>
      <c r="J7" s="606"/>
      <c r="K7" s="606"/>
      <c r="L7" s="606"/>
      <c r="M7" s="606"/>
      <c r="N7" s="606"/>
      <c r="O7" s="606"/>
      <c r="P7" s="606"/>
      <c r="Q7" s="606"/>
      <c r="R7" s="606"/>
      <c r="S7" s="606"/>
      <c r="T7" s="606"/>
      <c r="U7" s="606"/>
      <c r="V7" s="606"/>
      <c r="W7" s="606"/>
      <c r="X7" s="606"/>
      <c r="Y7" s="606"/>
      <c r="Z7" s="606"/>
      <c r="AA7" s="606"/>
      <c r="AB7" s="606"/>
      <c r="AC7" s="606"/>
    </row>
    <row r="8" spans="1:29" x14ac:dyDescent="0.2">
      <c r="A8" s="607" t="s">
        <v>1024</v>
      </c>
      <c r="B8" s="606"/>
      <c r="C8" s="606">
        <v>0.78700000000000003</v>
      </c>
      <c r="D8" s="606">
        <v>0.78700000000000003</v>
      </c>
      <c r="E8" s="606">
        <v>0.78700000000000003</v>
      </c>
      <c r="F8" s="606">
        <v>0.78700000000000003</v>
      </c>
      <c r="G8" s="606">
        <v>0.78700000000000003</v>
      </c>
      <c r="H8" s="606">
        <v>0.70899999999999996</v>
      </c>
      <c r="I8" s="606">
        <v>0.70899999999999996</v>
      </c>
      <c r="J8" s="606">
        <v>0.70899999999999996</v>
      </c>
      <c r="K8" s="606">
        <v>0.70899999999999996</v>
      </c>
      <c r="L8" s="606">
        <v>0.70899999999999996</v>
      </c>
      <c r="M8" s="606">
        <v>0.63</v>
      </c>
      <c r="N8" s="606">
        <v>0.63</v>
      </c>
      <c r="O8" s="606">
        <v>0.63</v>
      </c>
      <c r="P8" s="606">
        <v>0.63</v>
      </c>
      <c r="Q8" s="606">
        <v>0.63</v>
      </c>
      <c r="R8" s="606">
        <v>0.55100000000000005</v>
      </c>
      <c r="S8" s="606">
        <v>0.55100000000000005</v>
      </c>
      <c r="T8" s="606">
        <v>0.55100000000000005</v>
      </c>
      <c r="U8" s="606">
        <v>0.55100000000000005</v>
      </c>
      <c r="V8" s="606">
        <v>0.55100000000000005</v>
      </c>
      <c r="W8" s="606">
        <v>0.47199999999999998</v>
      </c>
      <c r="X8" s="606">
        <v>0.47199999999999998</v>
      </c>
      <c r="Y8" s="606">
        <v>0.47199999999999998</v>
      </c>
      <c r="Z8" s="606">
        <v>0.47199999999999998</v>
      </c>
      <c r="AA8" s="606">
        <v>0.47199999999999998</v>
      </c>
      <c r="AB8" s="606">
        <v>0.47199999999999998</v>
      </c>
      <c r="AC8" s="606">
        <v>0.47199999999999998</v>
      </c>
    </row>
    <row r="9" spans="1:29" x14ac:dyDescent="0.2">
      <c r="A9" s="607" t="s">
        <v>226</v>
      </c>
      <c r="B9" s="606"/>
      <c r="C9" s="606">
        <v>0.23599999999999999</v>
      </c>
      <c r="D9" s="606">
        <v>0.23599999999999999</v>
      </c>
      <c r="E9" s="606">
        <v>0.23599999999999999</v>
      </c>
      <c r="F9" s="606">
        <v>0.23599999999999999</v>
      </c>
      <c r="G9" s="606">
        <v>0.23599999999999999</v>
      </c>
      <c r="H9" s="606">
        <v>0.19700000000000001</v>
      </c>
      <c r="I9" s="606">
        <v>0.19700000000000001</v>
      </c>
      <c r="J9" s="606">
        <v>0.19700000000000001</v>
      </c>
      <c r="K9" s="606">
        <v>0.19700000000000001</v>
      </c>
      <c r="L9" s="606">
        <v>0.19700000000000001</v>
      </c>
      <c r="M9" s="606">
        <v>0.17699999999999999</v>
      </c>
      <c r="N9" s="606">
        <v>0.17699999999999999</v>
      </c>
      <c r="O9" s="606">
        <v>0.17699999999999999</v>
      </c>
      <c r="P9" s="606">
        <v>0.17699999999999999</v>
      </c>
      <c r="Q9" s="606">
        <v>0.17699999999999999</v>
      </c>
      <c r="R9" s="606">
        <v>0.157</v>
      </c>
      <c r="S9" s="606">
        <v>0.157</v>
      </c>
      <c r="T9" s="606">
        <v>0.157</v>
      </c>
      <c r="U9" s="606">
        <v>0.157</v>
      </c>
      <c r="V9" s="606">
        <v>0.157</v>
      </c>
      <c r="W9" s="606">
        <v>0.13800000000000001</v>
      </c>
      <c r="X9" s="606">
        <v>0.13800000000000001</v>
      </c>
      <c r="Y9" s="606">
        <v>0.13800000000000001</v>
      </c>
      <c r="Z9" s="606">
        <v>0.13800000000000001</v>
      </c>
      <c r="AA9" s="606">
        <v>0.13800000000000001</v>
      </c>
      <c r="AB9" s="606">
        <v>0.13800000000000001</v>
      </c>
      <c r="AC9" s="606">
        <v>0.13800000000000001</v>
      </c>
    </row>
    <row r="10" spans="1:29" x14ac:dyDescent="0.2">
      <c r="A10" s="607" t="s">
        <v>216</v>
      </c>
      <c r="B10" s="606"/>
      <c r="C10" s="606">
        <f t="shared" ref="C10:AC10" si="0">C8+2*C9</f>
        <v>1.2589999999999999</v>
      </c>
      <c r="D10" s="606">
        <f t="shared" si="0"/>
        <v>1.2589999999999999</v>
      </c>
      <c r="E10" s="606">
        <f t="shared" si="0"/>
        <v>1.2589999999999999</v>
      </c>
      <c r="F10" s="606">
        <f t="shared" si="0"/>
        <v>1.2589999999999999</v>
      </c>
      <c r="G10" s="606">
        <f t="shared" si="0"/>
        <v>1.2589999999999999</v>
      </c>
      <c r="H10" s="606">
        <f t="shared" si="0"/>
        <v>1.103</v>
      </c>
      <c r="I10" s="606">
        <f t="shared" si="0"/>
        <v>1.103</v>
      </c>
      <c r="J10" s="606">
        <f t="shared" si="0"/>
        <v>1.103</v>
      </c>
      <c r="K10" s="606">
        <f t="shared" si="0"/>
        <v>1.103</v>
      </c>
      <c r="L10" s="606">
        <f t="shared" si="0"/>
        <v>1.103</v>
      </c>
      <c r="M10" s="606">
        <f t="shared" si="0"/>
        <v>0.98399999999999999</v>
      </c>
      <c r="N10" s="606">
        <f t="shared" si="0"/>
        <v>0.98399999999999999</v>
      </c>
      <c r="O10" s="606">
        <f t="shared" si="0"/>
        <v>0.98399999999999999</v>
      </c>
      <c r="P10" s="606">
        <f t="shared" si="0"/>
        <v>0.98399999999999999</v>
      </c>
      <c r="Q10" s="606">
        <f t="shared" si="0"/>
        <v>0.98399999999999999</v>
      </c>
      <c r="R10" s="606">
        <f t="shared" si="0"/>
        <v>0.86499999999999999</v>
      </c>
      <c r="S10" s="606">
        <f t="shared" si="0"/>
        <v>0.86499999999999999</v>
      </c>
      <c r="T10" s="606">
        <f t="shared" si="0"/>
        <v>0.86499999999999999</v>
      </c>
      <c r="U10" s="606">
        <f t="shared" si="0"/>
        <v>0.86499999999999999</v>
      </c>
      <c r="V10" s="606">
        <f t="shared" si="0"/>
        <v>0.86499999999999999</v>
      </c>
      <c r="W10" s="606">
        <f t="shared" si="0"/>
        <v>0.748</v>
      </c>
      <c r="X10" s="606">
        <f t="shared" si="0"/>
        <v>0.748</v>
      </c>
      <c r="Y10" s="606">
        <f t="shared" si="0"/>
        <v>0.748</v>
      </c>
      <c r="Z10" s="606">
        <f t="shared" si="0"/>
        <v>0.748</v>
      </c>
      <c r="AA10" s="606">
        <f t="shared" si="0"/>
        <v>0.748</v>
      </c>
      <c r="AB10" s="606">
        <f t="shared" si="0"/>
        <v>0.748</v>
      </c>
      <c r="AC10" s="606">
        <f t="shared" si="0"/>
        <v>0.748</v>
      </c>
    </row>
    <row r="11" spans="1:29" x14ac:dyDescent="0.2">
      <c r="A11" s="607" t="s">
        <v>217</v>
      </c>
      <c r="B11" s="606"/>
      <c r="C11" s="606">
        <f t="shared" ref="C11:AC11" si="1">(C8+2*C9)/2</f>
        <v>0.62949999999999995</v>
      </c>
      <c r="D11" s="606">
        <f t="shared" si="1"/>
        <v>0.62949999999999995</v>
      </c>
      <c r="E11" s="606">
        <f t="shared" si="1"/>
        <v>0.62949999999999995</v>
      </c>
      <c r="F11" s="606">
        <f t="shared" si="1"/>
        <v>0.62949999999999995</v>
      </c>
      <c r="G11" s="606">
        <f t="shared" si="1"/>
        <v>0.62949999999999995</v>
      </c>
      <c r="H11" s="606">
        <f t="shared" si="1"/>
        <v>0.55149999999999999</v>
      </c>
      <c r="I11" s="606">
        <f t="shared" si="1"/>
        <v>0.55149999999999999</v>
      </c>
      <c r="J11" s="606">
        <f t="shared" si="1"/>
        <v>0.55149999999999999</v>
      </c>
      <c r="K11" s="606">
        <f t="shared" si="1"/>
        <v>0.55149999999999999</v>
      </c>
      <c r="L11" s="606">
        <f t="shared" si="1"/>
        <v>0.55149999999999999</v>
      </c>
      <c r="M11" s="606">
        <f t="shared" si="1"/>
        <v>0.49199999999999999</v>
      </c>
      <c r="N11" s="606">
        <f t="shared" si="1"/>
        <v>0.49199999999999999</v>
      </c>
      <c r="O11" s="606">
        <f t="shared" si="1"/>
        <v>0.49199999999999999</v>
      </c>
      <c r="P11" s="606">
        <f t="shared" si="1"/>
        <v>0.49199999999999999</v>
      </c>
      <c r="Q11" s="606">
        <f t="shared" si="1"/>
        <v>0.49199999999999999</v>
      </c>
      <c r="R11" s="606">
        <f t="shared" si="1"/>
        <v>0.4325</v>
      </c>
      <c r="S11" s="606">
        <f t="shared" si="1"/>
        <v>0.4325</v>
      </c>
      <c r="T11" s="606">
        <f t="shared" si="1"/>
        <v>0.4325</v>
      </c>
      <c r="U11" s="606">
        <f t="shared" si="1"/>
        <v>0.4325</v>
      </c>
      <c r="V11" s="606">
        <f t="shared" si="1"/>
        <v>0.4325</v>
      </c>
      <c r="W11" s="606">
        <f t="shared" si="1"/>
        <v>0.374</v>
      </c>
      <c r="X11" s="606">
        <f t="shared" si="1"/>
        <v>0.374</v>
      </c>
      <c r="Y11" s="606">
        <f t="shared" si="1"/>
        <v>0.374</v>
      </c>
      <c r="Z11" s="606">
        <f t="shared" si="1"/>
        <v>0.374</v>
      </c>
      <c r="AA11" s="606">
        <f t="shared" si="1"/>
        <v>0.374</v>
      </c>
      <c r="AB11" s="606">
        <f t="shared" si="1"/>
        <v>0.374</v>
      </c>
      <c r="AC11" s="606">
        <f t="shared" si="1"/>
        <v>0.374</v>
      </c>
    </row>
    <row r="12" spans="1:29" x14ac:dyDescent="0.2">
      <c r="A12" s="607" t="s">
        <v>1099</v>
      </c>
      <c r="B12" s="606"/>
      <c r="C12" s="606">
        <v>2</v>
      </c>
      <c r="D12" s="606">
        <v>2</v>
      </c>
      <c r="E12" s="606">
        <v>2</v>
      </c>
      <c r="F12" s="606">
        <v>2</v>
      </c>
      <c r="G12" s="606">
        <v>2</v>
      </c>
      <c r="H12" s="606">
        <v>2</v>
      </c>
      <c r="I12" s="606">
        <v>2</v>
      </c>
      <c r="J12" s="606">
        <v>2</v>
      </c>
      <c r="K12" s="606">
        <v>2</v>
      </c>
      <c r="L12" s="606">
        <v>2</v>
      </c>
      <c r="M12" s="606">
        <v>2</v>
      </c>
      <c r="N12" s="606">
        <v>2</v>
      </c>
      <c r="O12" s="606">
        <v>2</v>
      </c>
      <c r="P12" s="606">
        <v>2</v>
      </c>
      <c r="Q12" s="606">
        <v>2</v>
      </c>
      <c r="R12" s="606">
        <v>2</v>
      </c>
      <c r="S12" s="606">
        <v>2</v>
      </c>
      <c r="T12" s="606">
        <v>2</v>
      </c>
      <c r="U12" s="606">
        <v>2</v>
      </c>
      <c r="V12" s="606">
        <v>2</v>
      </c>
      <c r="W12" s="606">
        <v>2</v>
      </c>
      <c r="X12" s="606">
        <v>2</v>
      </c>
      <c r="Y12" s="606">
        <v>2</v>
      </c>
      <c r="Z12" s="606">
        <v>2</v>
      </c>
      <c r="AA12" s="606">
        <v>2</v>
      </c>
      <c r="AB12" s="606">
        <v>2</v>
      </c>
      <c r="AC12" s="606">
        <v>2</v>
      </c>
    </row>
    <row r="13" spans="1:29" x14ac:dyDescent="0.2">
      <c r="A13" s="607" t="s">
        <v>1100</v>
      </c>
      <c r="B13" s="606"/>
      <c r="C13" s="606" t="s">
        <v>1118</v>
      </c>
      <c r="D13" s="606" t="s">
        <v>1118</v>
      </c>
      <c r="E13" s="606" t="s">
        <v>1118</v>
      </c>
      <c r="F13" s="606" t="s">
        <v>1118</v>
      </c>
      <c r="G13" s="606" t="s">
        <v>1118</v>
      </c>
      <c r="H13" s="606" t="s">
        <v>1118</v>
      </c>
      <c r="I13" s="606" t="s">
        <v>1118</v>
      </c>
      <c r="J13" s="606" t="s">
        <v>1118</v>
      </c>
      <c r="K13" s="606" t="s">
        <v>1118</v>
      </c>
      <c r="L13" s="606" t="s">
        <v>1118</v>
      </c>
      <c r="M13" s="606" t="s">
        <v>1118</v>
      </c>
      <c r="N13" s="606" t="s">
        <v>1118</v>
      </c>
      <c r="O13" s="606" t="s">
        <v>1118</v>
      </c>
      <c r="P13" s="606" t="s">
        <v>1118</v>
      </c>
      <c r="Q13" s="606" t="s">
        <v>1118</v>
      </c>
      <c r="R13" s="606" t="s">
        <v>1118</v>
      </c>
      <c r="S13" s="606" t="s">
        <v>1118</v>
      </c>
      <c r="T13" s="606" t="s">
        <v>1118</v>
      </c>
      <c r="U13" s="606" t="s">
        <v>1118</v>
      </c>
      <c r="V13" s="606" t="s">
        <v>1118</v>
      </c>
      <c r="W13" s="606" t="s">
        <v>1118</v>
      </c>
      <c r="X13" s="606" t="s">
        <v>1118</v>
      </c>
      <c r="Y13" s="606" t="s">
        <v>1118</v>
      </c>
      <c r="Z13" s="606" t="s">
        <v>1118</v>
      </c>
      <c r="AA13" s="606" t="s">
        <v>1118</v>
      </c>
      <c r="AB13" s="606" t="s">
        <v>1118</v>
      </c>
      <c r="AC13" s="606" t="s">
        <v>1118</v>
      </c>
    </row>
    <row r="15" spans="1:29" ht="15" x14ac:dyDescent="0.25">
      <c r="A15" s="600" t="s">
        <v>1101</v>
      </c>
      <c r="B15" s="485"/>
      <c r="C15" s="485"/>
      <c r="D15" s="485"/>
      <c r="E15" s="485"/>
      <c r="F15" s="485"/>
      <c r="G15" s="485"/>
      <c r="H15" s="485"/>
      <c r="I15" s="485"/>
      <c r="J15" s="485"/>
      <c r="K15" s="485"/>
      <c r="L15" s="485"/>
      <c r="M15" s="485"/>
      <c r="N15" s="485"/>
      <c r="O15" s="485"/>
      <c r="P15" s="485"/>
      <c r="Q15" s="485"/>
      <c r="R15" s="485"/>
      <c r="S15" s="485"/>
      <c r="T15" s="485"/>
      <c r="U15" s="485"/>
      <c r="V15" s="485"/>
      <c r="W15" s="485"/>
      <c r="X15" s="485"/>
      <c r="Y15" s="485"/>
      <c r="Z15" s="485"/>
      <c r="AA15" s="485"/>
      <c r="AB15" s="485"/>
      <c r="AC15" s="485"/>
    </row>
    <row r="16" spans="1:29" x14ac:dyDescent="0.2">
      <c r="A16" s="486" t="s">
        <v>1024</v>
      </c>
      <c r="B16" s="485"/>
      <c r="C16" s="485">
        <v>0.98399999999999999</v>
      </c>
      <c r="D16" s="485">
        <v>0.98399999999999999</v>
      </c>
      <c r="E16" s="485">
        <v>0.98399999999999999</v>
      </c>
      <c r="F16" s="485">
        <v>0.98399999999999999</v>
      </c>
      <c r="G16" s="485">
        <v>0.98399999999999999</v>
      </c>
      <c r="H16" s="485">
        <v>0.86599999999999999</v>
      </c>
      <c r="I16" s="485">
        <v>0.86599999999999999</v>
      </c>
      <c r="J16" s="485">
        <v>0.86599999999999999</v>
      </c>
      <c r="K16" s="485">
        <v>0.86599999999999999</v>
      </c>
      <c r="L16" s="485">
        <v>0.86599999999999999</v>
      </c>
      <c r="M16" s="485">
        <v>0.78700000000000003</v>
      </c>
      <c r="N16" s="485">
        <v>0.78700000000000003</v>
      </c>
      <c r="O16" s="485">
        <v>0.78700000000000003</v>
      </c>
      <c r="P16" s="485">
        <v>0.78700000000000003</v>
      </c>
      <c r="Q16" s="485">
        <v>0.78700000000000003</v>
      </c>
      <c r="R16" s="485">
        <v>0.70899999999999996</v>
      </c>
      <c r="S16" s="485">
        <v>0.70899999999999996</v>
      </c>
      <c r="T16" s="485">
        <v>0.70899999999999996</v>
      </c>
      <c r="U16" s="485">
        <v>0.70899999999999996</v>
      </c>
      <c r="V16" s="485">
        <v>0.70899999999999996</v>
      </c>
      <c r="W16" s="485">
        <v>0.63</v>
      </c>
      <c r="X16" s="485">
        <v>0.63</v>
      </c>
      <c r="Y16" s="485">
        <v>0.63</v>
      </c>
      <c r="Z16" s="485">
        <v>0.63</v>
      </c>
      <c r="AA16" s="485">
        <v>0.63</v>
      </c>
      <c r="AB16" s="485">
        <v>0.63</v>
      </c>
      <c r="AC16" s="485">
        <v>0.63</v>
      </c>
    </row>
    <row r="17" spans="1:29" x14ac:dyDescent="0.2">
      <c r="A17" s="486" t="s">
        <v>226</v>
      </c>
      <c r="B17" s="485"/>
      <c r="C17" s="485">
        <v>0.27600000000000002</v>
      </c>
      <c r="D17" s="485">
        <v>0.27600000000000002</v>
      </c>
      <c r="E17" s="485">
        <v>0.27600000000000002</v>
      </c>
      <c r="F17" s="485">
        <v>0.27600000000000002</v>
      </c>
      <c r="G17" s="485">
        <v>0.27600000000000002</v>
      </c>
      <c r="H17" s="485">
        <v>0.23599999999999999</v>
      </c>
      <c r="I17" s="485">
        <v>0.23599999999999999</v>
      </c>
      <c r="J17" s="485">
        <v>0.23599999999999999</v>
      </c>
      <c r="K17" s="485">
        <v>0.23599999999999999</v>
      </c>
      <c r="L17" s="485">
        <v>0.23599999999999999</v>
      </c>
      <c r="M17" s="485">
        <v>0.19700000000000001</v>
      </c>
      <c r="N17" s="485">
        <v>0.19700000000000001</v>
      </c>
      <c r="O17" s="485">
        <v>0.19700000000000001</v>
      </c>
      <c r="P17" s="485">
        <v>0.19700000000000001</v>
      </c>
      <c r="Q17" s="485">
        <v>0.19700000000000001</v>
      </c>
      <c r="R17" s="485">
        <v>0.17699999999999999</v>
      </c>
      <c r="S17" s="485">
        <v>0.17699999999999999</v>
      </c>
      <c r="T17" s="485">
        <v>0.17699999999999999</v>
      </c>
      <c r="U17" s="485">
        <v>0.17699999999999999</v>
      </c>
      <c r="V17" s="485">
        <v>0.17699999999999999</v>
      </c>
      <c r="W17" s="485">
        <v>0.157</v>
      </c>
      <c r="X17" s="485">
        <v>0.157</v>
      </c>
      <c r="Y17" s="485">
        <v>0.157</v>
      </c>
      <c r="Z17" s="485">
        <v>0.157</v>
      </c>
      <c r="AA17" s="485">
        <v>0.157</v>
      </c>
      <c r="AB17" s="485">
        <v>0.157</v>
      </c>
      <c r="AC17" s="485">
        <v>0.157</v>
      </c>
    </row>
    <row r="18" spans="1:29" x14ac:dyDescent="0.2">
      <c r="A18" s="486" t="s">
        <v>216</v>
      </c>
      <c r="B18" s="485"/>
      <c r="C18" s="485">
        <f t="shared" ref="C18:AC18" si="2">C16+2*C17</f>
        <v>1.536</v>
      </c>
      <c r="D18" s="485">
        <f t="shared" si="2"/>
        <v>1.536</v>
      </c>
      <c r="E18" s="485">
        <f t="shared" si="2"/>
        <v>1.536</v>
      </c>
      <c r="F18" s="485">
        <f t="shared" si="2"/>
        <v>1.536</v>
      </c>
      <c r="G18" s="485">
        <f t="shared" si="2"/>
        <v>1.536</v>
      </c>
      <c r="H18" s="485">
        <f t="shared" si="2"/>
        <v>1.3380000000000001</v>
      </c>
      <c r="I18" s="485">
        <f t="shared" si="2"/>
        <v>1.3380000000000001</v>
      </c>
      <c r="J18" s="485">
        <f t="shared" si="2"/>
        <v>1.3380000000000001</v>
      </c>
      <c r="K18" s="485">
        <f t="shared" si="2"/>
        <v>1.3380000000000001</v>
      </c>
      <c r="L18" s="485">
        <f t="shared" si="2"/>
        <v>1.3380000000000001</v>
      </c>
      <c r="M18" s="485">
        <f t="shared" si="2"/>
        <v>1.181</v>
      </c>
      <c r="N18" s="485">
        <f t="shared" si="2"/>
        <v>1.181</v>
      </c>
      <c r="O18" s="485">
        <f t="shared" si="2"/>
        <v>1.181</v>
      </c>
      <c r="P18" s="485">
        <f t="shared" si="2"/>
        <v>1.181</v>
      </c>
      <c r="Q18" s="485">
        <f t="shared" si="2"/>
        <v>1.181</v>
      </c>
      <c r="R18" s="485">
        <f t="shared" si="2"/>
        <v>1.0629999999999999</v>
      </c>
      <c r="S18" s="485">
        <f t="shared" si="2"/>
        <v>1.0629999999999999</v>
      </c>
      <c r="T18" s="485">
        <f t="shared" si="2"/>
        <v>1.0629999999999999</v>
      </c>
      <c r="U18" s="485">
        <f t="shared" si="2"/>
        <v>1.0629999999999999</v>
      </c>
      <c r="V18" s="485">
        <f t="shared" si="2"/>
        <v>1.0629999999999999</v>
      </c>
      <c r="W18" s="485">
        <f t="shared" si="2"/>
        <v>0.94399999999999995</v>
      </c>
      <c r="X18" s="485">
        <f t="shared" si="2"/>
        <v>0.94399999999999995</v>
      </c>
      <c r="Y18" s="485">
        <f t="shared" si="2"/>
        <v>0.94399999999999995</v>
      </c>
      <c r="Z18" s="485">
        <f t="shared" si="2"/>
        <v>0.94399999999999995</v>
      </c>
      <c r="AA18" s="485">
        <f t="shared" si="2"/>
        <v>0.94399999999999995</v>
      </c>
      <c r="AB18" s="485">
        <f t="shared" si="2"/>
        <v>0.94399999999999995</v>
      </c>
      <c r="AC18" s="485">
        <f t="shared" si="2"/>
        <v>0.94399999999999995</v>
      </c>
    </row>
    <row r="19" spans="1:29" x14ac:dyDescent="0.2">
      <c r="A19" s="486" t="s">
        <v>217</v>
      </c>
      <c r="B19" s="485"/>
      <c r="C19" s="485">
        <f t="shared" ref="C19:AC19" si="3">(C16+2*C17)/2</f>
        <v>0.76800000000000002</v>
      </c>
      <c r="D19" s="485">
        <f t="shared" si="3"/>
        <v>0.76800000000000002</v>
      </c>
      <c r="E19" s="485">
        <f t="shared" si="3"/>
        <v>0.76800000000000002</v>
      </c>
      <c r="F19" s="485">
        <f t="shared" si="3"/>
        <v>0.76800000000000002</v>
      </c>
      <c r="G19" s="485">
        <f t="shared" si="3"/>
        <v>0.76800000000000002</v>
      </c>
      <c r="H19" s="485">
        <f t="shared" si="3"/>
        <v>0.66900000000000004</v>
      </c>
      <c r="I19" s="485">
        <f t="shared" si="3"/>
        <v>0.66900000000000004</v>
      </c>
      <c r="J19" s="485">
        <f t="shared" si="3"/>
        <v>0.66900000000000004</v>
      </c>
      <c r="K19" s="485">
        <f t="shared" si="3"/>
        <v>0.66900000000000004</v>
      </c>
      <c r="L19" s="485">
        <f t="shared" si="3"/>
        <v>0.66900000000000004</v>
      </c>
      <c r="M19" s="485">
        <f t="shared" si="3"/>
        <v>0.59050000000000002</v>
      </c>
      <c r="N19" s="485">
        <f t="shared" si="3"/>
        <v>0.59050000000000002</v>
      </c>
      <c r="O19" s="485">
        <f t="shared" si="3"/>
        <v>0.59050000000000002</v>
      </c>
      <c r="P19" s="485">
        <f t="shared" si="3"/>
        <v>0.59050000000000002</v>
      </c>
      <c r="Q19" s="485">
        <f t="shared" si="3"/>
        <v>0.59050000000000002</v>
      </c>
      <c r="R19" s="485">
        <f t="shared" si="3"/>
        <v>0.53149999999999997</v>
      </c>
      <c r="S19" s="485">
        <f t="shared" si="3"/>
        <v>0.53149999999999997</v>
      </c>
      <c r="T19" s="485">
        <f t="shared" si="3"/>
        <v>0.53149999999999997</v>
      </c>
      <c r="U19" s="485">
        <f t="shared" si="3"/>
        <v>0.53149999999999997</v>
      </c>
      <c r="V19" s="485">
        <f t="shared" si="3"/>
        <v>0.53149999999999997</v>
      </c>
      <c r="W19" s="485">
        <f t="shared" si="3"/>
        <v>0.47199999999999998</v>
      </c>
      <c r="X19" s="485">
        <f t="shared" si="3"/>
        <v>0.47199999999999998</v>
      </c>
      <c r="Y19" s="485">
        <f t="shared" si="3"/>
        <v>0.47199999999999998</v>
      </c>
      <c r="Z19" s="485">
        <f t="shared" si="3"/>
        <v>0.47199999999999998</v>
      </c>
      <c r="AA19" s="485">
        <f t="shared" si="3"/>
        <v>0.47199999999999998</v>
      </c>
      <c r="AB19" s="485">
        <f t="shared" si="3"/>
        <v>0.47199999999999998</v>
      </c>
      <c r="AC19" s="485">
        <f t="shared" si="3"/>
        <v>0.47199999999999998</v>
      </c>
    </row>
    <row r="20" spans="1:29" x14ac:dyDescent="0.2">
      <c r="A20" s="486" t="s">
        <v>1099</v>
      </c>
      <c r="B20" s="485"/>
      <c r="C20" s="485">
        <v>2.5</v>
      </c>
      <c r="D20" s="485">
        <v>2.5</v>
      </c>
      <c r="E20" s="485">
        <v>2.5</v>
      </c>
      <c r="F20" s="485">
        <v>2.5</v>
      </c>
      <c r="G20" s="485">
        <v>2.5</v>
      </c>
      <c r="H20" s="485">
        <v>2.5</v>
      </c>
      <c r="I20" s="485">
        <v>2.5</v>
      </c>
      <c r="J20" s="485">
        <v>2.5</v>
      </c>
      <c r="K20" s="485">
        <v>2.5</v>
      </c>
      <c r="L20" s="485">
        <v>2.5</v>
      </c>
      <c r="M20" s="485">
        <v>2.5</v>
      </c>
      <c r="N20" s="485">
        <v>2.5</v>
      </c>
      <c r="O20" s="485">
        <v>2.5</v>
      </c>
      <c r="P20" s="485">
        <v>2.5</v>
      </c>
      <c r="Q20" s="485">
        <v>2.5</v>
      </c>
      <c r="R20" s="485">
        <v>2.5</v>
      </c>
      <c r="S20" s="485">
        <v>2.5</v>
      </c>
      <c r="T20" s="485">
        <v>2.5</v>
      </c>
      <c r="U20" s="485">
        <v>2.5</v>
      </c>
      <c r="V20" s="485">
        <v>2.5</v>
      </c>
      <c r="W20" s="485">
        <v>2.5</v>
      </c>
      <c r="X20" s="485">
        <v>2.5</v>
      </c>
      <c r="Y20" s="485">
        <v>2.5</v>
      </c>
      <c r="Z20" s="485">
        <v>2.5</v>
      </c>
      <c r="AA20" s="485">
        <v>2.5</v>
      </c>
      <c r="AB20" s="485">
        <v>2.5</v>
      </c>
      <c r="AC20" s="485">
        <v>2.5</v>
      </c>
    </row>
    <row r="21" spans="1:29" x14ac:dyDescent="0.2">
      <c r="A21" s="486" t="s">
        <v>1102</v>
      </c>
      <c r="B21" s="485"/>
      <c r="C21" s="485" t="s">
        <v>1119</v>
      </c>
      <c r="D21" s="485" t="s">
        <v>1119</v>
      </c>
      <c r="E21" s="485" t="s">
        <v>1119</v>
      </c>
      <c r="F21" s="485" t="s">
        <v>1119</v>
      </c>
      <c r="G21" s="485" t="s">
        <v>1119</v>
      </c>
      <c r="H21" s="485" t="s">
        <v>1119</v>
      </c>
      <c r="I21" s="485" t="s">
        <v>1119</v>
      </c>
      <c r="J21" s="485" t="s">
        <v>1119</v>
      </c>
      <c r="K21" s="485" t="s">
        <v>1119</v>
      </c>
      <c r="L21" s="485" t="s">
        <v>1119</v>
      </c>
      <c r="M21" s="485" t="s">
        <v>1119</v>
      </c>
      <c r="N21" s="485" t="s">
        <v>1119</v>
      </c>
      <c r="O21" s="485" t="s">
        <v>1119</v>
      </c>
      <c r="P21" s="485" t="s">
        <v>1119</v>
      </c>
      <c r="Q21" s="485" t="s">
        <v>1119</v>
      </c>
      <c r="R21" s="485" t="s">
        <v>1119</v>
      </c>
      <c r="S21" s="485" t="s">
        <v>1119</v>
      </c>
      <c r="T21" s="485" t="s">
        <v>1119</v>
      </c>
      <c r="U21" s="485" t="s">
        <v>1119</v>
      </c>
      <c r="V21" s="485" t="s">
        <v>1119</v>
      </c>
      <c r="W21" s="485" t="s">
        <v>1119</v>
      </c>
      <c r="X21" s="485" t="s">
        <v>1119</v>
      </c>
      <c r="Y21" s="485" t="s">
        <v>1119</v>
      </c>
      <c r="Z21" s="485" t="s">
        <v>1119</v>
      </c>
      <c r="AA21" s="485" t="s">
        <v>1119</v>
      </c>
      <c r="AB21" s="485" t="s">
        <v>1119</v>
      </c>
      <c r="AC21" s="485" t="s">
        <v>1119</v>
      </c>
    </row>
    <row r="23" spans="1:29" ht="15" x14ac:dyDescent="0.25">
      <c r="A23" s="601" t="s">
        <v>1103</v>
      </c>
      <c r="B23" s="608"/>
      <c r="C23" s="608"/>
      <c r="D23" s="608"/>
      <c r="E23" s="608"/>
      <c r="F23" s="608"/>
      <c r="G23" s="608"/>
      <c r="H23" s="608"/>
      <c r="I23" s="608"/>
      <c r="J23" s="608"/>
      <c r="K23" s="608"/>
      <c r="L23" s="608"/>
      <c r="M23" s="608"/>
      <c r="N23" s="608"/>
      <c r="O23" s="608"/>
      <c r="P23" s="608"/>
      <c r="Q23" s="608"/>
      <c r="R23" s="608"/>
      <c r="S23" s="608"/>
      <c r="T23" s="608"/>
      <c r="U23" s="608"/>
      <c r="V23" s="608"/>
      <c r="W23" s="608"/>
      <c r="X23" s="608"/>
      <c r="Y23" s="608"/>
      <c r="Z23" s="608"/>
      <c r="AA23" s="608"/>
      <c r="AB23" s="608"/>
      <c r="AC23" s="608"/>
    </row>
    <row r="24" spans="1:29" x14ac:dyDescent="0.2">
      <c r="A24" s="609" t="s">
        <v>1024</v>
      </c>
      <c r="B24" s="608"/>
      <c r="C24" s="608">
        <v>0.63</v>
      </c>
      <c r="D24" s="608">
        <v>0.63</v>
      </c>
      <c r="E24" s="608">
        <v>0.63</v>
      </c>
      <c r="F24" s="608">
        <v>0.63</v>
      </c>
      <c r="G24" s="608">
        <v>0.63</v>
      </c>
      <c r="H24" s="608">
        <v>0.55100000000000005</v>
      </c>
      <c r="I24" s="608">
        <v>0.55100000000000005</v>
      </c>
      <c r="J24" s="608">
        <v>0.55100000000000005</v>
      </c>
      <c r="K24" s="608">
        <v>0.55100000000000005</v>
      </c>
      <c r="L24" s="608">
        <v>0.55100000000000005</v>
      </c>
      <c r="M24" s="608">
        <v>0.47199999999999998</v>
      </c>
      <c r="N24" s="608">
        <v>0.47199999999999998</v>
      </c>
      <c r="O24" s="608">
        <v>0.47199999999999998</v>
      </c>
      <c r="P24" s="608">
        <v>0.47199999999999998</v>
      </c>
      <c r="Q24" s="608">
        <v>0.47199999999999998</v>
      </c>
      <c r="R24" s="608">
        <v>0.39400000000000002</v>
      </c>
      <c r="S24" s="608">
        <v>0.39400000000000002</v>
      </c>
      <c r="T24" s="608">
        <v>0.39400000000000002</v>
      </c>
      <c r="U24" s="608">
        <v>0.39400000000000002</v>
      </c>
      <c r="V24" s="608">
        <v>0.39400000000000002</v>
      </c>
      <c r="W24" s="608">
        <v>0.315</v>
      </c>
      <c r="X24" s="608">
        <v>0.315</v>
      </c>
      <c r="Y24" s="608">
        <v>0.315</v>
      </c>
      <c r="Z24" s="608">
        <v>0.315</v>
      </c>
      <c r="AA24" s="608">
        <v>0.315</v>
      </c>
      <c r="AB24" s="608">
        <v>0.315</v>
      </c>
      <c r="AC24" s="608">
        <v>0.315</v>
      </c>
    </row>
    <row r="25" spans="1:29" x14ac:dyDescent="0.2">
      <c r="A25" s="609" t="s">
        <v>226</v>
      </c>
      <c r="B25" s="608"/>
      <c r="C25" s="608">
        <v>0.17699999999999999</v>
      </c>
      <c r="D25" s="608">
        <v>0.17699999999999999</v>
      </c>
      <c r="E25" s="608">
        <v>0.17699999999999999</v>
      </c>
      <c r="F25" s="608">
        <v>0.17699999999999999</v>
      </c>
      <c r="G25" s="608">
        <v>0.17699999999999999</v>
      </c>
      <c r="H25" s="608">
        <v>0.157</v>
      </c>
      <c r="I25" s="608">
        <v>0.157</v>
      </c>
      <c r="J25" s="608">
        <v>0.157</v>
      </c>
      <c r="K25" s="608">
        <v>0.157</v>
      </c>
      <c r="L25" s="608">
        <v>0.157</v>
      </c>
      <c r="M25" s="608">
        <v>0.13800000000000001</v>
      </c>
      <c r="N25" s="608">
        <v>0.13800000000000001</v>
      </c>
      <c r="O25" s="608">
        <v>0.13800000000000001</v>
      </c>
      <c r="P25" s="608">
        <v>0.13800000000000001</v>
      </c>
      <c r="Q25" s="608">
        <v>0.13800000000000001</v>
      </c>
      <c r="R25" s="608">
        <v>0.11799999999999999</v>
      </c>
      <c r="S25" s="608">
        <v>0.11799999999999999</v>
      </c>
      <c r="T25" s="608">
        <v>0.11799999999999999</v>
      </c>
      <c r="U25" s="608">
        <v>0.11799999999999999</v>
      </c>
      <c r="V25" s="608">
        <v>0.11799999999999999</v>
      </c>
      <c r="W25" s="608">
        <v>9.8000000000000004E-2</v>
      </c>
      <c r="X25" s="608">
        <v>9.8000000000000004E-2</v>
      </c>
      <c r="Y25" s="608">
        <v>9.8000000000000004E-2</v>
      </c>
      <c r="Z25" s="608">
        <v>9.8000000000000004E-2</v>
      </c>
      <c r="AA25" s="608">
        <v>9.8000000000000004E-2</v>
      </c>
      <c r="AB25" s="608">
        <v>9.8000000000000004E-2</v>
      </c>
      <c r="AC25" s="608">
        <v>9.8000000000000004E-2</v>
      </c>
    </row>
    <row r="26" spans="1:29" x14ac:dyDescent="0.2">
      <c r="A26" s="609" t="s">
        <v>216</v>
      </c>
      <c r="B26" s="608"/>
      <c r="C26" s="608">
        <f t="shared" ref="C26:AC26" si="4">C24+2*C25</f>
        <v>0.98399999999999999</v>
      </c>
      <c r="D26" s="608">
        <f t="shared" si="4"/>
        <v>0.98399999999999999</v>
      </c>
      <c r="E26" s="608">
        <f t="shared" si="4"/>
        <v>0.98399999999999999</v>
      </c>
      <c r="F26" s="608">
        <f t="shared" si="4"/>
        <v>0.98399999999999999</v>
      </c>
      <c r="G26" s="608">
        <f t="shared" si="4"/>
        <v>0.98399999999999999</v>
      </c>
      <c r="H26" s="608">
        <f t="shared" si="4"/>
        <v>0.86499999999999999</v>
      </c>
      <c r="I26" s="608">
        <f t="shared" si="4"/>
        <v>0.86499999999999999</v>
      </c>
      <c r="J26" s="608">
        <f t="shared" si="4"/>
        <v>0.86499999999999999</v>
      </c>
      <c r="K26" s="608">
        <f t="shared" si="4"/>
        <v>0.86499999999999999</v>
      </c>
      <c r="L26" s="608">
        <f t="shared" si="4"/>
        <v>0.86499999999999999</v>
      </c>
      <c r="M26" s="608">
        <f t="shared" si="4"/>
        <v>0.748</v>
      </c>
      <c r="N26" s="608">
        <f t="shared" si="4"/>
        <v>0.748</v>
      </c>
      <c r="O26" s="608">
        <f t="shared" si="4"/>
        <v>0.748</v>
      </c>
      <c r="P26" s="608">
        <f t="shared" si="4"/>
        <v>0.748</v>
      </c>
      <c r="Q26" s="608">
        <f t="shared" si="4"/>
        <v>0.748</v>
      </c>
      <c r="R26" s="608">
        <f t="shared" si="4"/>
        <v>0.63</v>
      </c>
      <c r="S26" s="608">
        <f t="shared" si="4"/>
        <v>0.63</v>
      </c>
      <c r="T26" s="608">
        <f t="shared" si="4"/>
        <v>0.63</v>
      </c>
      <c r="U26" s="608">
        <f t="shared" si="4"/>
        <v>0.63</v>
      </c>
      <c r="V26" s="608">
        <f t="shared" si="4"/>
        <v>0.63</v>
      </c>
      <c r="W26" s="608">
        <f t="shared" si="4"/>
        <v>0.51100000000000001</v>
      </c>
      <c r="X26" s="608">
        <f t="shared" si="4"/>
        <v>0.51100000000000001</v>
      </c>
      <c r="Y26" s="608">
        <f t="shared" si="4"/>
        <v>0.51100000000000001</v>
      </c>
      <c r="Z26" s="608">
        <f t="shared" si="4"/>
        <v>0.51100000000000001</v>
      </c>
      <c r="AA26" s="608">
        <f t="shared" si="4"/>
        <v>0.51100000000000001</v>
      </c>
      <c r="AB26" s="608">
        <f t="shared" si="4"/>
        <v>0.51100000000000001</v>
      </c>
      <c r="AC26" s="608">
        <f t="shared" si="4"/>
        <v>0.51100000000000001</v>
      </c>
    </row>
    <row r="27" spans="1:29" x14ac:dyDescent="0.2">
      <c r="A27" s="609" t="s">
        <v>217</v>
      </c>
      <c r="B27" s="608"/>
      <c r="C27" s="608">
        <f t="shared" ref="C27:AC27" si="5">(C24+2*C25)/2</f>
        <v>0.49199999999999999</v>
      </c>
      <c r="D27" s="608">
        <f t="shared" si="5"/>
        <v>0.49199999999999999</v>
      </c>
      <c r="E27" s="608">
        <f t="shared" si="5"/>
        <v>0.49199999999999999</v>
      </c>
      <c r="F27" s="608">
        <f t="shared" si="5"/>
        <v>0.49199999999999999</v>
      </c>
      <c r="G27" s="608">
        <f t="shared" si="5"/>
        <v>0.49199999999999999</v>
      </c>
      <c r="H27" s="608">
        <f t="shared" si="5"/>
        <v>0.4325</v>
      </c>
      <c r="I27" s="608">
        <f t="shared" si="5"/>
        <v>0.4325</v>
      </c>
      <c r="J27" s="608">
        <f t="shared" si="5"/>
        <v>0.4325</v>
      </c>
      <c r="K27" s="608">
        <f t="shared" si="5"/>
        <v>0.4325</v>
      </c>
      <c r="L27" s="608">
        <f t="shared" si="5"/>
        <v>0.4325</v>
      </c>
      <c r="M27" s="608">
        <f t="shared" si="5"/>
        <v>0.374</v>
      </c>
      <c r="N27" s="608">
        <f t="shared" si="5"/>
        <v>0.374</v>
      </c>
      <c r="O27" s="608">
        <f t="shared" si="5"/>
        <v>0.374</v>
      </c>
      <c r="P27" s="608">
        <f t="shared" si="5"/>
        <v>0.374</v>
      </c>
      <c r="Q27" s="608">
        <f t="shared" si="5"/>
        <v>0.374</v>
      </c>
      <c r="R27" s="608">
        <f t="shared" si="5"/>
        <v>0.315</v>
      </c>
      <c r="S27" s="608">
        <f t="shared" si="5"/>
        <v>0.315</v>
      </c>
      <c r="T27" s="608">
        <f t="shared" si="5"/>
        <v>0.315</v>
      </c>
      <c r="U27" s="608">
        <f t="shared" si="5"/>
        <v>0.315</v>
      </c>
      <c r="V27" s="608">
        <f t="shared" si="5"/>
        <v>0.315</v>
      </c>
      <c r="W27" s="608">
        <f t="shared" si="5"/>
        <v>0.2555</v>
      </c>
      <c r="X27" s="608">
        <f t="shared" si="5"/>
        <v>0.2555</v>
      </c>
      <c r="Y27" s="608">
        <f t="shared" si="5"/>
        <v>0.2555</v>
      </c>
      <c r="Z27" s="608">
        <f t="shared" si="5"/>
        <v>0.2555</v>
      </c>
      <c r="AA27" s="608">
        <f t="shared" si="5"/>
        <v>0.2555</v>
      </c>
      <c r="AB27" s="608">
        <f t="shared" si="5"/>
        <v>0.2555</v>
      </c>
      <c r="AC27" s="608">
        <f t="shared" si="5"/>
        <v>0.2555</v>
      </c>
    </row>
    <row r="28" spans="1:29" x14ac:dyDescent="0.2">
      <c r="A28" s="609" t="s">
        <v>1099</v>
      </c>
      <c r="B28" s="608"/>
      <c r="C28" s="608">
        <v>3</v>
      </c>
      <c r="D28" s="608">
        <v>3</v>
      </c>
      <c r="E28" s="608">
        <v>3</v>
      </c>
      <c r="F28" s="608">
        <v>3</v>
      </c>
      <c r="G28" s="608">
        <v>3</v>
      </c>
      <c r="H28" s="608">
        <v>3</v>
      </c>
      <c r="I28" s="608">
        <v>3</v>
      </c>
      <c r="J28" s="608">
        <v>3</v>
      </c>
      <c r="K28" s="608">
        <v>3</v>
      </c>
      <c r="L28" s="608">
        <v>3</v>
      </c>
      <c r="M28" s="608">
        <v>3</v>
      </c>
      <c r="N28" s="608">
        <v>3</v>
      </c>
      <c r="O28" s="608">
        <v>3</v>
      </c>
      <c r="P28" s="608">
        <v>3</v>
      </c>
      <c r="Q28" s="608">
        <v>3</v>
      </c>
      <c r="R28" s="608">
        <v>3</v>
      </c>
      <c r="S28" s="608">
        <v>3</v>
      </c>
      <c r="T28" s="608">
        <v>3</v>
      </c>
      <c r="U28" s="608">
        <v>3</v>
      </c>
      <c r="V28" s="608">
        <v>3</v>
      </c>
      <c r="W28" s="608">
        <v>3</v>
      </c>
      <c r="X28" s="608">
        <v>3</v>
      </c>
      <c r="Y28" s="608">
        <v>3</v>
      </c>
      <c r="Z28" s="608">
        <v>3</v>
      </c>
      <c r="AA28" s="608">
        <v>3</v>
      </c>
      <c r="AB28" s="608">
        <v>3</v>
      </c>
      <c r="AC28" s="608">
        <v>3</v>
      </c>
    </row>
    <row r="29" spans="1:29" x14ac:dyDescent="0.2">
      <c r="A29" s="609" t="s">
        <v>1100</v>
      </c>
      <c r="B29" s="608"/>
      <c r="C29" s="608" t="s">
        <v>1120</v>
      </c>
      <c r="D29" s="608" t="s">
        <v>1120</v>
      </c>
      <c r="E29" s="608" t="s">
        <v>1120</v>
      </c>
      <c r="F29" s="608" t="s">
        <v>1120</v>
      </c>
      <c r="G29" s="608" t="s">
        <v>1120</v>
      </c>
      <c r="H29" s="608" t="s">
        <v>1120</v>
      </c>
      <c r="I29" s="608" t="s">
        <v>1120</v>
      </c>
      <c r="J29" s="608" t="s">
        <v>1120</v>
      </c>
      <c r="K29" s="608" t="s">
        <v>1120</v>
      </c>
      <c r="L29" s="608" t="s">
        <v>1120</v>
      </c>
      <c r="M29" s="608" t="s">
        <v>1120</v>
      </c>
      <c r="N29" s="608" t="s">
        <v>1120</v>
      </c>
      <c r="O29" s="608" t="s">
        <v>1120</v>
      </c>
      <c r="P29" s="608" t="s">
        <v>1120</v>
      </c>
      <c r="Q29" s="608" t="s">
        <v>1120</v>
      </c>
      <c r="R29" s="608" t="s">
        <v>1120</v>
      </c>
      <c r="S29" s="608" t="s">
        <v>1120</v>
      </c>
      <c r="T29" s="608" t="s">
        <v>1120</v>
      </c>
      <c r="U29" s="608" t="s">
        <v>1120</v>
      </c>
      <c r="V29" s="608" t="s">
        <v>1120</v>
      </c>
      <c r="W29" s="608" t="s">
        <v>1120</v>
      </c>
      <c r="X29" s="608" t="s">
        <v>1120</v>
      </c>
      <c r="Y29" s="608" t="s">
        <v>1120</v>
      </c>
      <c r="Z29" s="608" t="s">
        <v>1120</v>
      </c>
      <c r="AA29" s="608" t="s">
        <v>1120</v>
      </c>
      <c r="AB29" s="608" t="s">
        <v>1120</v>
      </c>
      <c r="AC29" s="608" t="s">
        <v>1120</v>
      </c>
    </row>
    <row r="31" spans="1:29" ht="15" x14ac:dyDescent="0.25">
      <c r="A31" s="602" t="s">
        <v>910</v>
      </c>
      <c r="B31" s="479"/>
      <c r="C31" s="479"/>
      <c r="D31" s="479"/>
      <c r="E31" s="479"/>
      <c r="F31" s="479"/>
      <c r="G31" s="479"/>
      <c r="H31" s="479"/>
      <c r="I31" s="479"/>
      <c r="J31" s="479"/>
      <c r="K31" s="479"/>
      <c r="L31" s="479"/>
      <c r="M31" s="479"/>
      <c r="N31" s="479"/>
      <c r="O31" s="479"/>
      <c r="P31" s="479"/>
      <c r="Q31" s="479"/>
      <c r="R31" s="479"/>
      <c r="S31" s="479"/>
      <c r="T31" s="479"/>
      <c r="U31" s="479"/>
      <c r="V31" s="479"/>
      <c r="W31" s="479"/>
      <c r="X31" s="479"/>
      <c r="Y31" s="479"/>
      <c r="Z31" s="479"/>
      <c r="AA31" s="479"/>
      <c r="AB31" s="479"/>
      <c r="AC31" s="479"/>
    </row>
    <row r="32" spans="1:29" x14ac:dyDescent="0.2">
      <c r="A32" s="484" t="s">
        <v>1104</v>
      </c>
      <c r="B32" s="479"/>
      <c r="C32" s="613">
        <f t="shared" ref="C32:AC32" si="6">13552/(2*((2^(1/12))^(C4-49))*440)</f>
        <v>25.899609589814411</v>
      </c>
      <c r="D32" s="613">
        <f t="shared" si="6"/>
        <v>24.445976200310273</v>
      </c>
      <c r="E32" s="613">
        <f t="shared" si="6"/>
        <v>23.073928983900899</v>
      </c>
      <c r="F32" s="613">
        <f t="shared" si="6"/>
        <v>21.778888860545667</v>
      </c>
      <c r="G32" s="613">
        <f t="shared" si="6"/>
        <v>20.556533754218531</v>
      </c>
      <c r="H32" s="613">
        <f t="shared" si="6"/>
        <v>19.402784168381046</v>
      </c>
      <c r="I32" s="613">
        <f t="shared" si="6"/>
        <v>18.313789571041909</v>
      </c>
      <c r="J32" s="613">
        <f t="shared" si="6"/>
        <v>17.285915543964347</v>
      </c>
      <c r="K32" s="613">
        <f t="shared" si="6"/>
        <v>16.315731653133149</v>
      </c>
      <c r="L32" s="613">
        <f t="shared" si="6"/>
        <v>15.4</v>
      </c>
      <c r="M32" s="613">
        <f t="shared" si="6"/>
        <v>14.535664415298079</v>
      </c>
      <c r="N32" s="613">
        <f t="shared" si="6"/>
        <v>13.719840259361225</v>
      </c>
      <c r="O32" s="613">
        <f t="shared" si="6"/>
        <v>12.949804794907202</v>
      </c>
      <c r="P32" s="613">
        <f t="shared" si="6"/>
        <v>12.222988100155137</v>
      </c>
      <c r="Q32" s="613">
        <f t="shared" si="6"/>
        <v>11.536964491950448</v>
      </c>
      <c r="R32" s="613">
        <f t="shared" si="6"/>
        <v>10.889444430272832</v>
      </c>
      <c r="S32" s="613">
        <f t="shared" si="6"/>
        <v>10.278266877109264</v>
      </c>
      <c r="T32" s="613">
        <f t="shared" si="6"/>
        <v>9.7013920841905232</v>
      </c>
      <c r="U32" s="613">
        <f t="shared" si="6"/>
        <v>9.1568947855209508</v>
      </c>
      <c r="V32" s="613">
        <f t="shared" si="6"/>
        <v>8.6429577719821715</v>
      </c>
      <c r="W32" s="613">
        <f t="shared" si="6"/>
        <v>8.1578658265665709</v>
      </c>
      <c r="X32" s="613">
        <f t="shared" si="6"/>
        <v>7.7</v>
      </c>
      <c r="Y32" s="613">
        <f t="shared" si="6"/>
        <v>7.2678322076490396</v>
      </c>
      <c r="Z32" s="613">
        <f t="shared" si="6"/>
        <v>6.8599201296806109</v>
      </c>
      <c r="AA32" s="613">
        <f t="shared" si="6"/>
        <v>6.4749023974536009</v>
      </c>
      <c r="AB32" s="613">
        <f t="shared" si="6"/>
        <v>6.1114940500775674</v>
      </c>
      <c r="AC32" s="613">
        <f t="shared" si="6"/>
        <v>5.7684822459752221</v>
      </c>
    </row>
    <row r="33" spans="1:29" x14ac:dyDescent="0.2">
      <c r="A33" s="484" t="s">
        <v>1105</v>
      </c>
      <c r="B33" s="479"/>
      <c r="C33" s="613">
        <f t="shared" ref="C33:AC33" si="7">0.6*(C8/2)</f>
        <v>0.2361</v>
      </c>
      <c r="D33" s="613">
        <f t="shared" si="7"/>
        <v>0.2361</v>
      </c>
      <c r="E33" s="613">
        <f t="shared" si="7"/>
        <v>0.2361</v>
      </c>
      <c r="F33" s="613">
        <f t="shared" si="7"/>
        <v>0.2361</v>
      </c>
      <c r="G33" s="613">
        <f t="shared" si="7"/>
        <v>0.2361</v>
      </c>
      <c r="H33" s="613">
        <f t="shared" si="7"/>
        <v>0.21269999999999997</v>
      </c>
      <c r="I33" s="613">
        <f t="shared" si="7"/>
        <v>0.21269999999999997</v>
      </c>
      <c r="J33" s="613">
        <f t="shared" si="7"/>
        <v>0.21269999999999997</v>
      </c>
      <c r="K33" s="613">
        <f t="shared" si="7"/>
        <v>0.21269999999999997</v>
      </c>
      <c r="L33" s="613">
        <f t="shared" si="7"/>
        <v>0.21269999999999997</v>
      </c>
      <c r="M33" s="613">
        <f t="shared" si="7"/>
        <v>0.189</v>
      </c>
      <c r="N33" s="613">
        <f t="shared" si="7"/>
        <v>0.189</v>
      </c>
      <c r="O33" s="613">
        <f t="shared" si="7"/>
        <v>0.189</v>
      </c>
      <c r="P33" s="613">
        <f t="shared" si="7"/>
        <v>0.189</v>
      </c>
      <c r="Q33" s="613">
        <f t="shared" si="7"/>
        <v>0.189</v>
      </c>
      <c r="R33" s="613">
        <f t="shared" si="7"/>
        <v>0.1653</v>
      </c>
      <c r="S33" s="613">
        <f t="shared" si="7"/>
        <v>0.1653</v>
      </c>
      <c r="T33" s="613">
        <f t="shared" si="7"/>
        <v>0.1653</v>
      </c>
      <c r="U33" s="613">
        <f t="shared" si="7"/>
        <v>0.1653</v>
      </c>
      <c r="V33" s="613">
        <f t="shared" si="7"/>
        <v>0.1653</v>
      </c>
      <c r="W33" s="613">
        <f t="shared" si="7"/>
        <v>0.14159999999999998</v>
      </c>
      <c r="X33" s="613">
        <f t="shared" si="7"/>
        <v>0.14159999999999998</v>
      </c>
      <c r="Y33" s="613">
        <f t="shared" si="7"/>
        <v>0.14159999999999998</v>
      </c>
      <c r="Z33" s="613">
        <f t="shared" si="7"/>
        <v>0.14159999999999998</v>
      </c>
      <c r="AA33" s="613">
        <f t="shared" si="7"/>
        <v>0.14159999999999998</v>
      </c>
      <c r="AB33" s="613">
        <f t="shared" si="7"/>
        <v>0.14159999999999998</v>
      </c>
      <c r="AC33" s="613">
        <f t="shared" si="7"/>
        <v>0.14159999999999998</v>
      </c>
    </row>
    <row r="35" spans="1:29" ht="15" x14ac:dyDescent="0.25">
      <c r="A35" s="603" t="s">
        <v>1106</v>
      </c>
      <c r="B35" s="610"/>
      <c r="C35" s="610"/>
      <c r="D35" s="610"/>
      <c r="E35" s="610"/>
      <c r="F35" s="610"/>
      <c r="G35" s="610"/>
      <c r="H35" s="610"/>
      <c r="I35" s="610"/>
      <c r="J35" s="610"/>
      <c r="K35" s="610"/>
      <c r="L35" s="610"/>
      <c r="M35" s="610"/>
      <c r="N35" s="610"/>
      <c r="O35" s="610"/>
      <c r="P35" s="610"/>
      <c r="Q35" s="610"/>
      <c r="R35" s="610"/>
      <c r="S35" s="610"/>
      <c r="T35" s="610"/>
      <c r="U35" s="610"/>
      <c r="V35" s="610"/>
      <c r="W35" s="610"/>
      <c r="X35" s="610"/>
      <c r="Y35" s="610"/>
      <c r="Z35" s="610"/>
      <c r="AA35" s="610"/>
      <c r="AB35" s="610"/>
      <c r="AC35" s="610"/>
    </row>
    <row r="36" spans="1:29" x14ac:dyDescent="0.2">
      <c r="A36" s="472" t="s">
        <v>239</v>
      </c>
      <c r="C36" t="s">
        <v>6</v>
      </c>
      <c r="D36" t="s">
        <v>7</v>
      </c>
      <c r="E36" t="s">
        <v>8</v>
      </c>
      <c r="F36" t="s">
        <v>9</v>
      </c>
      <c r="G36" t="s">
        <v>10</v>
      </c>
      <c r="H36" t="s">
        <v>240</v>
      </c>
      <c r="I36" t="s">
        <v>12</v>
      </c>
      <c r="J36" t="s">
        <v>13</v>
      </c>
      <c r="K36" t="s">
        <v>14</v>
      </c>
      <c r="L36" t="s">
        <v>15</v>
      </c>
      <c r="M36" t="s">
        <v>16</v>
      </c>
      <c r="N36" t="s">
        <v>17</v>
      </c>
      <c r="O36" t="s">
        <v>18</v>
      </c>
      <c r="P36" t="s">
        <v>19</v>
      </c>
      <c r="Q36" t="s">
        <v>20</v>
      </c>
      <c r="R36" t="s">
        <v>35</v>
      </c>
      <c r="S36" t="s">
        <v>210</v>
      </c>
      <c r="T36" t="s">
        <v>211</v>
      </c>
      <c r="U36" t="s">
        <v>45</v>
      </c>
      <c r="V36" t="s">
        <v>212</v>
      </c>
      <c r="W36" t="s">
        <v>213</v>
      </c>
      <c r="X36" t="s">
        <v>725</v>
      </c>
      <c r="Y36" t="s">
        <v>53</v>
      </c>
      <c r="Z36" t="s">
        <v>734</v>
      </c>
      <c r="AA36" t="s">
        <v>737</v>
      </c>
      <c r="AB36" t="s">
        <v>214</v>
      </c>
      <c r="AC36" t="s">
        <v>740</v>
      </c>
    </row>
    <row r="37" spans="1:29" x14ac:dyDescent="0.2">
      <c r="A37" s="472" t="s">
        <v>1107</v>
      </c>
      <c r="C37" s="469">
        <f t="shared" ref="C37:AC37" si="8">((2^(1/12))^(C4-49))*440</f>
        <v>261.62556530059862</v>
      </c>
      <c r="D37" s="469">
        <f t="shared" si="8"/>
        <v>277.18263097687208</v>
      </c>
      <c r="E37" s="469">
        <f t="shared" si="8"/>
        <v>293.66476791740752</v>
      </c>
      <c r="F37" s="469">
        <f t="shared" si="8"/>
        <v>311.12698372208087</v>
      </c>
      <c r="G37" s="469">
        <f t="shared" si="8"/>
        <v>329.62755691286992</v>
      </c>
      <c r="H37" s="469">
        <f t="shared" si="8"/>
        <v>349.22823143300388</v>
      </c>
      <c r="I37" s="469">
        <f t="shared" si="8"/>
        <v>369.99442271163434</v>
      </c>
      <c r="J37" s="469">
        <f t="shared" si="8"/>
        <v>391.99543598174927</v>
      </c>
      <c r="K37" s="469">
        <f t="shared" si="8"/>
        <v>415.30469757994513</v>
      </c>
      <c r="L37" s="469">
        <f t="shared" si="8"/>
        <v>440</v>
      </c>
      <c r="M37" s="469">
        <f t="shared" si="8"/>
        <v>466.16376151808993</v>
      </c>
      <c r="N37" s="469">
        <f t="shared" si="8"/>
        <v>493.88330125612413</v>
      </c>
      <c r="O37" s="469">
        <f t="shared" si="8"/>
        <v>523.25113060119736</v>
      </c>
      <c r="P37" s="469">
        <f t="shared" si="8"/>
        <v>554.36526195374415</v>
      </c>
      <c r="Q37" s="469">
        <f t="shared" si="8"/>
        <v>587.32953583481515</v>
      </c>
      <c r="R37" s="469">
        <f t="shared" si="8"/>
        <v>622.25396744416184</v>
      </c>
      <c r="S37" s="469">
        <f t="shared" si="8"/>
        <v>659.25511382573995</v>
      </c>
      <c r="T37" s="469">
        <f t="shared" si="8"/>
        <v>698.45646286600777</v>
      </c>
      <c r="U37" s="469">
        <f t="shared" si="8"/>
        <v>739.98884542326891</v>
      </c>
      <c r="V37" s="469">
        <f t="shared" si="8"/>
        <v>783.99087196349865</v>
      </c>
      <c r="W37" s="469">
        <f t="shared" si="8"/>
        <v>830.60939515989048</v>
      </c>
      <c r="X37" s="469">
        <f t="shared" si="8"/>
        <v>880</v>
      </c>
      <c r="Y37" s="469">
        <f t="shared" si="8"/>
        <v>932.32752303617985</v>
      </c>
      <c r="Z37" s="469">
        <f t="shared" si="8"/>
        <v>987.76660251224848</v>
      </c>
      <c r="AA37" s="469">
        <f t="shared" si="8"/>
        <v>1046.5022612023947</v>
      </c>
      <c r="AB37" s="469">
        <f t="shared" si="8"/>
        <v>1108.7305239074885</v>
      </c>
      <c r="AC37" s="469">
        <f t="shared" si="8"/>
        <v>1174.6590716696305</v>
      </c>
    </row>
    <row r="38" spans="1:29" x14ac:dyDescent="0.2">
      <c r="A38" s="604" t="s">
        <v>1108</v>
      </c>
      <c r="B38" s="537" t="s">
        <v>785</v>
      </c>
      <c r="C38" t="s">
        <v>8</v>
      </c>
      <c r="D38" t="s">
        <v>9</v>
      </c>
      <c r="E38" t="s">
        <v>10</v>
      </c>
      <c r="F38" t="s">
        <v>240</v>
      </c>
      <c r="G38" t="s">
        <v>12</v>
      </c>
      <c r="H38" t="s">
        <v>13</v>
      </c>
      <c r="I38" t="s">
        <v>14</v>
      </c>
      <c r="J38" t="s">
        <v>15</v>
      </c>
      <c r="K38" t="s">
        <v>16</v>
      </c>
      <c r="L38" t="s">
        <v>17</v>
      </c>
      <c r="M38" t="s">
        <v>18</v>
      </c>
      <c r="N38" t="s">
        <v>19</v>
      </c>
      <c r="O38" t="s">
        <v>20</v>
      </c>
      <c r="P38" t="s">
        <v>35</v>
      </c>
      <c r="Q38" t="s">
        <v>210</v>
      </c>
      <c r="R38" t="s">
        <v>211</v>
      </c>
      <c r="S38" t="s">
        <v>45</v>
      </c>
      <c r="T38" t="s">
        <v>212</v>
      </c>
      <c r="U38" t="s">
        <v>213</v>
      </c>
      <c r="V38" t="s">
        <v>725</v>
      </c>
      <c r="W38" t="s">
        <v>53</v>
      </c>
      <c r="X38" t="s">
        <v>734</v>
      </c>
      <c r="Y38" t="s">
        <v>737</v>
      </c>
      <c r="Z38" t="s">
        <v>214</v>
      </c>
      <c r="AA38" t="s">
        <v>740</v>
      </c>
      <c r="AB38" t="s">
        <v>247</v>
      </c>
      <c r="AC38" t="s">
        <v>744</v>
      </c>
    </row>
    <row r="39" spans="1:29" x14ac:dyDescent="0.2">
      <c r="A39" s="605"/>
      <c r="B39" s="537" t="s">
        <v>1014</v>
      </c>
      <c r="C39" s="469">
        <f t="shared" ref="C39:AC39" si="9">((2^(1/12))^(C4+2-49))*440</f>
        <v>293.66476791740752</v>
      </c>
      <c r="D39" s="469">
        <f t="shared" si="9"/>
        <v>311.12698372208087</v>
      </c>
      <c r="E39" s="469">
        <f t="shared" si="9"/>
        <v>329.62755691286992</v>
      </c>
      <c r="F39" s="469">
        <f t="shared" si="9"/>
        <v>349.22823143300388</v>
      </c>
      <c r="G39" s="469">
        <f t="shared" si="9"/>
        <v>369.99442271163434</v>
      </c>
      <c r="H39" s="469">
        <f t="shared" si="9"/>
        <v>391.99543598174927</v>
      </c>
      <c r="I39" s="469">
        <f t="shared" si="9"/>
        <v>415.30469757994513</v>
      </c>
      <c r="J39" s="469">
        <f t="shared" si="9"/>
        <v>440</v>
      </c>
      <c r="K39" s="469">
        <f t="shared" si="9"/>
        <v>466.16376151808993</v>
      </c>
      <c r="L39" s="469">
        <f t="shared" si="9"/>
        <v>493.88330125612413</v>
      </c>
      <c r="M39" s="469">
        <f t="shared" si="9"/>
        <v>523.25113060119736</v>
      </c>
      <c r="N39" s="469">
        <f t="shared" si="9"/>
        <v>554.36526195374415</v>
      </c>
      <c r="O39" s="469">
        <f t="shared" si="9"/>
        <v>587.32953583481515</v>
      </c>
      <c r="P39" s="469">
        <f t="shared" si="9"/>
        <v>622.25396744416184</v>
      </c>
      <c r="Q39" s="469">
        <f t="shared" si="9"/>
        <v>659.25511382573995</v>
      </c>
      <c r="R39" s="469">
        <f t="shared" si="9"/>
        <v>698.45646286600777</v>
      </c>
      <c r="S39" s="469">
        <f t="shared" si="9"/>
        <v>739.98884542326891</v>
      </c>
      <c r="T39" s="469">
        <f t="shared" si="9"/>
        <v>783.99087196349865</v>
      </c>
      <c r="U39" s="469">
        <f t="shared" si="9"/>
        <v>830.60939515989048</v>
      </c>
      <c r="V39" s="469">
        <f t="shared" si="9"/>
        <v>880</v>
      </c>
      <c r="W39" s="469">
        <f t="shared" si="9"/>
        <v>932.32752303617985</v>
      </c>
      <c r="X39" s="469">
        <f t="shared" si="9"/>
        <v>987.76660251224848</v>
      </c>
      <c r="Y39" s="469">
        <f t="shared" si="9"/>
        <v>1046.5022612023947</v>
      </c>
      <c r="Z39" s="469">
        <f t="shared" si="9"/>
        <v>1108.7305239074885</v>
      </c>
      <c r="AA39" s="469">
        <f t="shared" si="9"/>
        <v>1174.6590716696305</v>
      </c>
      <c r="AB39" s="469">
        <f t="shared" si="9"/>
        <v>1244.5079348883239</v>
      </c>
      <c r="AC39" s="469">
        <f t="shared" si="9"/>
        <v>1318.5102276514801</v>
      </c>
    </row>
    <row r="40" spans="1:29" x14ac:dyDescent="0.2">
      <c r="A40" s="605"/>
      <c r="B40" s="537" t="s">
        <v>1109</v>
      </c>
      <c r="C40" s="612"/>
      <c r="D40" s="612"/>
      <c r="E40" s="612"/>
      <c r="F40" s="612"/>
      <c r="G40" s="612"/>
      <c r="H40" s="612"/>
      <c r="I40" s="612"/>
      <c r="J40" s="612"/>
      <c r="K40" s="612"/>
      <c r="L40" s="612"/>
      <c r="M40" s="612"/>
      <c r="N40" s="612"/>
      <c r="O40" s="612"/>
      <c r="P40" s="612"/>
      <c r="Q40" s="612"/>
      <c r="R40" s="612"/>
      <c r="S40" s="612"/>
      <c r="T40" s="612"/>
      <c r="U40" s="612"/>
      <c r="V40" s="612"/>
      <c r="W40" s="612"/>
      <c r="X40" s="612"/>
      <c r="Y40" s="612"/>
      <c r="Z40" s="612"/>
      <c r="AA40" s="612"/>
      <c r="AB40" s="612"/>
      <c r="AC40" s="612"/>
    </row>
    <row r="41" spans="1:29" x14ac:dyDescent="0.2">
      <c r="A41" s="605"/>
      <c r="B41" s="537" t="s">
        <v>1110</v>
      </c>
      <c r="C41" s="482">
        <f t="shared" ref="C41:AC41" si="10">C32*C37/C39</f>
        <v>23.073928983900899</v>
      </c>
      <c r="D41" s="482">
        <f t="shared" si="10"/>
        <v>21.778888860545667</v>
      </c>
      <c r="E41" s="482">
        <f t="shared" si="10"/>
        <v>20.556533754218531</v>
      </c>
      <c r="F41" s="482">
        <f t="shared" si="10"/>
        <v>19.402784168381046</v>
      </c>
      <c r="G41" s="482">
        <f t="shared" si="10"/>
        <v>18.313789571041909</v>
      </c>
      <c r="H41" s="482">
        <f t="shared" si="10"/>
        <v>17.285915543964347</v>
      </c>
      <c r="I41" s="482">
        <f t="shared" si="10"/>
        <v>16.315731653133149</v>
      </c>
      <c r="J41" s="482">
        <f t="shared" si="10"/>
        <v>15.400000000000002</v>
      </c>
      <c r="K41" s="482">
        <f t="shared" si="10"/>
        <v>14.535664415298081</v>
      </c>
      <c r="L41" s="482">
        <f t="shared" si="10"/>
        <v>13.719840259361225</v>
      </c>
      <c r="M41" s="482">
        <f t="shared" si="10"/>
        <v>12.949804794907202</v>
      </c>
      <c r="N41" s="482">
        <f t="shared" si="10"/>
        <v>12.222988100155137</v>
      </c>
      <c r="O41" s="482">
        <f t="shared" si="10"/>
        <v>11.536964491950448</v>
      </c>
      <c r="P41" s="482">
        <f t="shared" si="10"/>
        <v>10.889444430272832</v>
      </c>
      <c r="Q41" s="482">
        <f t="shared" si="10"/>
        <v>10.278266877109264</v>
      </c>
      <c r="R41" s="482">
        <f t="shared" si="10"/>
        <v>9.7013920841905232</v>
      </c>
      <c r="S41" s="482">
        <f t="shared" si="10"/>
        <v>9.1568947855209508</v>
      </c>
      <c r="T41" s="482">
        <f t="shared" si="10"/>
        <v>8.6429577719821715</v>
      </c>
      <c r="U41" s="482">
        <f t="shared" si="10"/>
        <v>8.1578658265665709</v>
      </c>
      <c r="V41" s="482">
        <f t="shared" si="10"/>
        <v>7.7</v>
      </c>
      <c r="W41" s="482">
        <f t="shared" si="10"/>
        <v>7.2678322076490387</v>
      </c>
      <c r="X41" s="482">
        <f t="shared" si="10"/>
        <v>6.8599201296806109</v>
      </c>
      <c r="Y41" s="482">
        <f t="shared" si="10"/>
        <v>6.4749023974536009</v>
      </c>
      <c r="Z41" s="482">
        <f t="shared" si="10"/>
        <v>6.1114940500775674</v>
      </c>
      <c r="AA41" s="482">
        <f t="shared" si="10"/>
        <v>5.7684822459752221</v>
      </c>
      <c r="AB41" s="482">
        <f t="shared" si="10"/>
        <v>5.444722215136415</v>
      </c>
      <c r="AC41" s="482">
        <f t="shared" si="10"/>
        <v>5.139133438554631</v>
      </c>
    </row>
    <row r="42" spans="1:29" x14ac:dyDescent="0.2">
      <c r="A42" s="604" t="s">
        <v>1111</v>
      </c>
      <c r="B42" s="537" t="s">
        <v>785</v>
      </c>
      <c r="C42" t="s">
        <v>9</v>
      </c>
      <c r="D42" t="s">
        <v>10</v>
      </c>
      <c r="E42" t="s">
        <v>240</v>
      </c>
      <c r="F42" t="s">
        <v>12</v>
      </c>
      <c r="G42" t="s">
        <v>13</v>
      </c>
      <c r="H42" t="s">
        <v>14</v>
      </c>
      <c r="I42" t="s">
        <v>15</v>
      </c>
      <c r="J42" t="s">
        <v>16</v>
      </c>
      <c r="K42" t="s">
        <v>17</v>
      </c>
      <c r="L42" t="s">
        <v>18</v>
      </c>
      <c r="M42" t="s">
        <v>19</v>
      </c>
      <c r="N42" t="s">
        <v>20</v>
      </c>
      <c r="O42" t="s">
        <v>35</v>
      </c>
      <c r="P42" t="s">
        <v>210</v>
      </c>
      <c r="Q42" t="s">
        <v>211</v>
      </c>
      <c r="R42" t="s">
        <v>45</v>
      </c>
      <c r="S42" t="s">
        <v>212</v>
      </c>
      <c r="T42" t="s">
        <v>213</v>
      </c>
      <c r="U42" t="s">
        <v>725</v>
      </c>
      <c r="V42" t="s">
        <v>53</v>
      </c>
      <c r="W42" t="s">
        <v>734</v>
      </c>
      <c r="X42" t="s">
        <v>737</v>
      </c>
      <c r="Y42" t="s">
        <v>214</v>
      </c>
      <c r="Z42" t="s">
        <v>740</v>
      </c>
      <c r="AA42" t="s">
        <v>247</v>
      </c>
      <c r="AB42" t="s">
        <v>744</v>
      </c>
      <c r="AC42" t="s">
        <v>746</v>
      </c>
    </row>
    <row r="43" spans="1:29" x14ac:dyDescent="0.2">
      <c r="A43" s="605"/>
      <c r="B43" s="537" t="s">
        <v>1014</v>
      </c>
      <c r="C43" s="469">
        <f t="shared" ref="C43:AC43" si="11">((2^(1/12))^(C4+3-49))*440</f>
        <v>311.12698372208087</v>
      </c>
      <c r="D43" s="469">
        <f t="shared" si="11"/>
        <v>329.62755691286992</v>
      </c>
      <c r="E43" s="469">
        <f t="shared" si="11"/>
        <v>349.22823143300388</v>
      </c>
      <c r="F43" s="469">
        <f t="shared" si="11"/>
        <v>369.99442271163434</v>
      </c>
      <c r="G43" s="469">
        <f t="shared" si="11"/>
        <v>391.99543598174927</v>
      </c>
      <c r="H43" s="469">
        <f t="shared" si="11"/>
        <v>415.30469757994513</v>
      </c>
      <c r="I43" s="469">
        <f t="shared" si="11"/>
        <v>440</v>
      </c>
      <c r="J43" s="469">
        <f t="shared" si="11"/>
        <v>466.16376151808993</v>
      </c>
      <c r="K43" s="469">
        <f t="shared" si="11"/>
        <v>493.88330125612413</v>
      </c>
      <c r="L43" s="469">
        <f t="shared" si="11"/>
        <v>523.25113060119736</v>
      </c>
      <c r="M43" s="469">
        <f t="shared" si="11"/>
        <v>554.36526195374415</v>
      </c>
      <c r="N43" s="469">
        <f t="shared" si="11"/>
        <v>587.32953583481515</v>
      </c>
      <c r="O43" s="469">
        <f t="shared" si="11"/>
        <v>622.25396744416184</v>
      </c>
      <c r="P43" s="469">
        <f t="shared" si="11"/>
        <v>659.25511382573995</v>
      </c>
      <c r="Q43" s="469">
        <f t="shared" si="11"/>
        <v>698.45646286600777</v>
      </c>
      <c r="R43" s="469">
        <f t="shared" si="11"/>
        <v>739.98884542326891</v>
      </c>
      <c r="S43" s="469">
        <f t="shared" si="11"/>
        <v>783.99087196349865</v>
      </c>
      <c r="T43" s="469">
        <f t="shared" si="11"/>
        <v>830.60939515989048</v>
      </c>
      <c r="U43" s="469">
        <f t="shared" si="11"/>
        <v>880</v>
      </c>
      <c r="V43" s="469">
        <f t="shared" si="11"/>
        <v>932.32752303617985</v>
      </c>
      <c r="W43" s="469">
        <f t="shared" si="11"/>
        <v>987.76660251224848</v>
      </c>
      <c r="X43" s="469">
        <f t="shared" si="11"/>
        <v>1046.5022612023947</v>
      </c>
      <c r="Y43" s="469">
        <f t="shared" si="11"/>
        <v>1108.7305239074885</v>
      </c>
      <c r="Z43" s="469">
        <f t="shared" si="11"/>
        <v>1174.6590716696305</v>
      </c>
      <c r="AA43" s="469">
        <f t="shared" si="11"/>
        <v>1244.5079348883239</v>
      </c>
      <c r="AB43" s="469">
        <f t="shared" si="11"/>
        <v>1318.5102276514801</v>
      </c>
      <c r="AC43" s="469">
        <f t="shared" si="11"/>
        <v>1396.9129257320158</v>
      </c>
    </row>
    <row r="44" spans="1:29" x14ac:dyDescent="0.2">
      <c r="A44" s="605"/>
      <c r="B44" s="537" t="s">
        <v>1109</v>
      </c>
      <c r="C44" s="612"/>
      <c r="D44" s="612"/>
      <c r="E44" s="612"/>
      <c r="F44" s="612"/>
      <c r="G44" s="612"/>
      <c r="H44" s="612"/>
      <c r="I44" s="612"/>
      <c r="J44" s="612"/>
      <c r="K44" s="612"/>
      <c r="L44" s="612"/>
      <c r="M44" s="612"/>
      <c r="N44" s="612"/>
      <c r="O44" s="612"/>
      <c r="P44" s="612"/>
      <c r="Q44" s="612"/>
      <c r="R44" s="612"/>
      <c r="S44" s="612"/>
      <c r="T44" s="612"/>
      <c r="U44" s="612"/>
      <c r="V44" s="612"/>
      <c r="W44" s="612"/>
      <c r="X44" s="612"/>
      <c r="Y44" s="612"/>
      <c r="Z44" s="612"/>
      <c r="AA44" s="612"/>
      <c r="AB44" s="612"/>
      <c r="AC44" s="612"/>
    </row>
    <row r="45" spans="1:29" x14ac:dyDescent="0.2">
      <c r="A45" s="605"/>
      <c r="B45" s="537" t="s">
        <v>1110</v>
      </c>
      <c r="C45" s="482">
        <f t="shared" ref="C45:AC45" si="12">C32*C37/C43</f>
        <v>21.778888860545667</v>
      </c>
      <c r="D45" s="482">
        <f t="shared" si="12"/>
        <v>20.556533754218531</v>
      </c>
      <c r="E45" s="482">
        <f t="shared" si="12"/>
        <v>19.402784168381046</v>
      </c>
      <c r="F45" s="482">
        <f t="shared" si="12"/>
        <v>18.313789571041909</v>
      </c>
      <c r="G45" s="482">
        <f t="shared" si="12"/>
        <v>17.285915543964347</v>
      </c>
      <c r="H45" s="482">
        <f t="shared" si="12"/>
        <v>16.315731653133149</v>
      </c>
      <c r="I45" s="482">
        <f t="shared" si="12"/>
        <v>15.400000000000002</v>
      </c>
      <c r="J45" s="482">
        <f t="shared" si="12"/>
        <v>14.535664415298081</v>
      </c>
      <c r="K45" s="482">
        <f t="shared" si="12"/>
        <v>13.719840259361227</v>
      </c>
      <c r="L45" s="482">
        <f t="shared" si="12"/>
        <v>12.949804794907202</v>
      </c>
      <c r="M45" s="482">
        <f t="shared" si="12"/>
        <v>12.222988100155137</v>
      </c>
      <c r="N45" s="482">
        <f t="shared" si="12"/>
        <v>11.536964491950448</v>
      </c>
      <c r="O45" s="482">
        <f t="shared" si="12"/>
        <v>10.889444430272832</v>
      </c>
      <c r="P45" s="482">
        <f t="shared" si="12"/>
        <v>10.278266877109264</v>
      </c>
      <c r="Q45" s="482">
        <f t="shared" si="12"/>
        <v>9.7013920841905232</v>
      </c>
      <c r="R45" s="482">
        <f t="shared" si="12"/>
        <v>9.1568947855209508</v>
      </c>
      <c r="S45" s="482">
        <f t="shared" si="12"/>
        <v>8.6429577719821715</v>
      </c>
      <c r="T45" s="482">
        <f t="shared" si="12"/>
        <v>8.1578658265665709</v>
      </c>
      <c r="U45" s="482">
        <f t="shared" si="12"/>
        <v>7.7</v>
      </c>
      <c r="V45" s="482">
        <f t="shared" si="12"/>
        <v>7.2678322076490396</v>
      </c>
      <c r="W45" s="482">
        <f t="shared" si="12"/>
        <v>6.85992012968061</v>
      </c>
      <c r="X45" s="482">
        <f t="shared" si="12"/>
        <v>6.4749023974536009</v>
      </c>
      <c r="Y45" s="482">
        <f t="shared" si="12"/>
        <v>6.1114940500775674</v>
      </c>
      <c r="Z45" s="482">
        <f t="shared" si="12"/>
        <v>5.7684822459752221</v>
      </c>
      <c r="AA45" s="482">
        <f t="shared" si="12"/>
        <v>5.444722215136415</v>
      </c>
      <c r="AB45" s="482">
        <f t="shared" si="12"/>
        <v>5.139133438554631</v>
      </c>
      <c r="AC45" s="482">
        <f t="shared" si="12"/>
        <v>4.8506960420952607</v>
      </c>
    </row>
    <row r="46" spans="1:29" x14ac:dyDescent="0.2">
      <c r="A46" s="604" t="s">
        <v>1112</v>
      </c>
      <c r="B46" s="537" t="s">
        <v>785</v>
      </c>
      <c r="C46" t="s">
        <v>10</v>
      </c>
      <c r="D46" t="s">
        <v>240</v>
      </c>
      <c r="E46" t="s">
        <v>12</v>
      </c>
      <c r="F46" t="s">
        <v>13</v>
      </c>
      <c r="G46" t="s">
        <v>14</v>
      </c>
      <c r="H46" t="s">
        <v>15</v>
      </c>
      <c r="I46" t="s">
        <v>16</v>
      </c>
      <c r="J46" t="s">
        <v>17</v>
      </c>
      <c r="K46" t="s">
        <v>18</v>
      </c>
      <c r="L46" t="s">
        <v>19</v>
      </c>
      <c r="M46" t="s">
        <v>20</v>
      </c>
      <c r="N46" t="s">
        <v>35</v>
      </c>
      <c r="O46" t="s">
        <v>210</v>
      </c>
      <c r="P46" t="s">
        <v>211</v>
      </c>
      <c r="Q46" t="s">
        <v>45</v>
      </c>
      <c r="R46" t="s">
        <v>212</v>
      </c>
      <c r="S46" t="s">
        <v>213</v>
      </c>
      <c r="T46" t="s">
        <v>725</v>
      </c>
      <c r="U46" t="s">
        <v>53</v>
      </c>
      <c r="V46" t="s">
        <v>734</v>
      </c>
      <c r="W46" t="s">
        <v>737</v>
      </c>
      <c r="X46" t="s">
        <v>214</v>
      </c>
      <c r="Y46" t="s">
        <v>740</v>
      </c>
      <c r="Z46" t="s">
        <v>247</v>
      </c>
      <c r="AA46" t="s">
        <v>744</v>
      </c>
      <c r="AB46" t="s">
        <v>746</v>
      </c>
      <c r="AC46" t="s">
        <v>259</v>
      </c>
    </row>
    <row r="47" spans="1:29" x14ac:dyDescent="0.2">
      <c r="A47" s="605"/>
      <c r="B47" s="537" t="s">
        <v>1014</v>
      </c>
      <c r="C47" s="469">
        <f t="shared" ref="C47:AC47" si="13">((2^(1/12))^(C4+4-49))*440</f>
        <v>329.62755691286992</v>
      </c>
      <c r="D47" s="469">
        <f t="shared" si="13"/>
        <v>349.22823143300388</v>
      </c>
      <c r="E47" s="469">
        <f t="shared" si="13"/>
        <v>369.99442271163434</v>
      </c>
      <c r="F47" s="469">
        <f t="shared" si="13"/>
        <v>391.99543598174927</v>
      </c>
      <c r="G47" s="469">
        <f t="shared" si="13"/>
        <v>415.30469757994513</v>
      </c>
      <c r="H47" s="469">
        <f t="shared" si="13"/>
        <v>440</v>
      </c>
      <c r="I47" s="469">
        <f t="shared" si="13"/>
        <v>466.16376151808993</v>
      </c>
      <c r="J47" s="469">
        <f t="shared" si="13"/>
        <v>493.88330125612413</v>
      </c>
      <c r="K47" s="469">
        <f t="shared" si="13"/>
        <v>523.25113060119736</v>
      </c>
      <c r="L47" s="469">
        <f t="shared" si="13"/>
        <v>554.36526195374415</v>
      </c>
      <c r="M47" s="469">
        <f t="shared" si="13"/>
        <v>587.32953583481515</v>
      </c>
      <c r="N47" s="469">
        <f t="shared" si="13"/>
        <v>622.25396744416184</v>
      </c>
      <c r="O47" s="469">
        <f t="shared" si="13"/>
        <v>659.25511382573995</v>
      </c>
      <c r="P47" s="469">
        <f t="shared" si="13"/>
        <v>698.45646286600777</v>
      </c>
      <c r="Q47" s="469">
        <f t="shared" si="13"/>
        <v>739.98884542326891</v>
      </c>
      <c r="R47" s="469">
        <f t="shared" si="13"/>
        <v>783.99087196349865</v>
      </c>
      <c r="S47" s="469">
        <f t="shared" si="13"/>
        <v>830.60939515989048</v>
      </c>
      <c r="T47" s="469">
        <f t="shared" si="13"/>
        <v>880</v>
      </c>
      <c r="U47" s="469">
        <f t="shared" si="13"/>
        <v>932.32752303617985</v>
      </c>
      <c r="V47" s="469">
        <f t="shared" si="13"/>
        <v>987.76660251224848</v>
      </c>
      <c r="W47" s="469">
        <f t="shared" si="13"/>
        <v>1046.5022612023947</v>
      </c>
      <c r="X47" s="469">
        <f t="shared" si="13"/>
        <v>1108.7305239074885</v>
      </c>
      <c r="Y47" s="469">
        <f t="shared" si="13"/>
        <v>1174.6590716696305</v>
      </c>
      <c r="Z47" s="469">
        <f t="shared" si="13"/>
        <v>1244.5079348883239</v>
      </c>
      <c r="AA47" s="469">
        <f t="shared" si="13"/>
        <v>1318.5102276514801</v>
      </c>
      <c r="AB47" s="469">
        <f t="shared" si="13"/>
        <v>1396.9129257320158</v>
      </c>
      <c r="AC47" s="469">
        <f t="shared" si="13"/>
        <v>1479.9776908465378</v>
      </c>
    </row>
    <row r="48" spans="1:29" x14ac:dyDescent="0.2">
      <c r="A48" s="605"/>
      <c r="B48" s="537" t="s">
        <v>1109</v>
      </c>
      <c r="C48" s="612"/>
      <c r="D48" s="612"/>
      <c r="E48" s="612"/>
      <c r="F48" s="612"/>
      <c r="G48" s="612"/>
      <c r="H48" s="612"/>
      <c r="I48" s="612"/>
      <c r="J48" s="612"/>
      <c r="K48" s="612"/>
      <c r="L48" s="612"/>
      <c r="M48" s="612"/>
      <c r="N48" s="612"/>
      <c r="O48" s="612"/>
      <c r="P48" s="612"/>
      <c r="Q48" s="612"/>
      <c r="R48" s="612"/>
      <c r="S48" s="612"/>
      <c r="T48" s="612"/>
      <c r="U48" s="612"/>
      <c r="V48" s="612"/>
      <c r="W48" s="612"/>
      <c r="X48" s="612"/>
      <c r="Y48" s="612"/>
      <c r="Z48" s="612"/>
      <c r="AA48" s="612"/>
      <c r="AB48" s="612"/>
      <c r="AC48" s="612"/>
    </row>
    <row r="49" spans="1:29" x14ac:dyDescent="0.2">
      <c r="A49" s="605"/>
      <c r="B49" s="537" t="s">
        <v>1110</v>
      </c>
      <c r="C49" s="482">
        <f t="shared" ref="C49:AC49" si="14">C32*C37/C47</f>
        <v>20.556533754218531</v>
      </c>
      <c r="D49" s="482">
        <f t="shared" si="14"/>
        <v>19.402784168381046</v>
      </c>
      <c r="E49" s="482">
        <f t="shared" si="14"/>
        <v>18.313789571041909</v>
      </c>
      <c r="F49" s="482">
        <f t="shared" si="14"/>
        <v>17.285915543964347</v>
      </c>
      <c r="G49" s="482">
        <f t="shared" si="14"/>
        <v>16.315731653133149</v>
      </c>
      <c r="H49" s="482">
        <f t="shared" si="14"/>
        <v>15.4</v>
      </c>
      <c r="I49" s="482">
        <f t="shared" si="14"/>
        <v>14.535664415298081</v>
      </c>
      <c r="J49" s="482">
        <f t="shared" si="14"/>
        <v>13.719840259361227</v>
      </c>
      <c r="K49" s="482">
        <f t="shared" si="14"/>
        <v>12.949804794907203</v>
      </c>
      <c r="L49" s="482">
        <f t="shared" si="14"/>
        <v>12.222988100155137</v>
      </c>
      <c r="M49" s="482">
        <f t="shared" si="14"/>
        <v>11.536964491950448</v>
      </c>
      <c r="N49" s="482">
        <f t="shared" si="14"/>
        <v>10.889444430272832</v>
      </c>
      <c r="O49" s="482">
        <f t="shared" si="14"/>
        <v>10.278266877109264</v>
      </c>
      <c r="P49" s="482">
        <f t="shared" si="14"/>
        <v>9.7013920841905232</v>
      </c>
      <c r="Q49" s="482">
        <f t="shared" si="14"/>
        <v>9.1568947855209508</v>
      </c>
      <c r="R49" s="482">
        <f t="shared" si="14"/>
        <v>8.6429577719821715</v>
      </c>
      <c r="S49" s="482">
        <f t="shared" si="14"/>
        <v>8.1578658265665709</v>
      </c>
      <c r="T49" s="482">
        <f t="shared" si="14"/>
        <v>7.7</v>
      </c>
      <c r="U49" s="482">
        <f t="shared" si="14"/>
        <v>7.2678322076490396</v>
      </c>
      <c r="V49" s="482">
        <f t="shared" si="14"/>
        <v>6.8599201296806109</v>
      </c>
      <c r="W49" s="482">
        <f t="shared" si="14"/>
        <v>6.4749023974536</v>
      </c>
      <c r="X49" s="482">
        <f t="shared" si="14"/>
        <v>6.1114940500775674</v>
      </c>
      <c r="Y49" s="482">
        <f t="shared" si="14"/>
        <v>5.7684822459752221</v>
      </c>
      <c r="Z49" s="482">
        <f t="shared" si="14"/>
        <v>5.444722215136415</v>
      </c>
      <c r="AA49" s="482">
        <f t="shared" si="14"/>
        <v>5.139133438554631</v>
      </c>
      <c r="AB49" s="482">
        <f t="shared" si="14"/>
        <v>4.8506960420952607</v>
      </c>
      <c r="AC49" s="482">
        <f t="shared" si="14"/>
        <v>4.5784473927604754</v>
      </c>
    </row>
    <row r="50" spans="1:29" x14ac:dyDescent="0.2">
      <c r="A50" s="604" t="s">
        <v>1113</v>
      </c>
      <c r="B50" s="537" t="s">
        <v>785</v>
      </c>
      <c r="C50" t="s">
        <v>240</v>
      </c>
      <c r="D50" t="s">
        <v>12</v>
      </c>
      <c r="E50" t="s">
        <v>13</v>
      </c>
      <c r="F50" t="s">
        <v>14</v>
      </c>
      <c r="G50" t="s">
        <v>15</v>
      </c>
      <c r="H50" t="s">
        <v>16</v>
      </c>
      <c r="I50" t="s">
        <v>17</v>
      </c>
      <c r="J50" t="s">
        <v>18</v>
      </c>
      <c r="K50" t="s">
        <v>19</v>
      </c>
      <c r="L50" t="s">
        <v>20</v>
      </c>
      <c r="M50" t="s">
        <v>35</v>
      </c>
      <c r="N50" t="s">
        <v>210</v>
      </c>
      <c r="O50" t="s">
        <v>211</v>
      </c>
      <c r="P50" t="s">
        <v>45</v>
      </c>
      <c r="Q50" t="s">
        <v>212</v>
      </c>
      <c r="R50" t="s">
        <v>213</v>
      </c>
      <c r="S50" t="s">
        <v>725</v>
      </c>
      <c r="T50" t="s">
        <v>53</v>
      </c>
      <c r="U50" t="s">
        <v>734</v>
      </c>
      <c r="V50" t="s">
        <v>737</v>
      </c>
      <c r="W50" t="s">
        <v>214</v>
      </c>
      <c r="X50" t="s">
        <v>740</v>
      </c>
      <c r="Y50" t="s">
        <v>247</v>
      </c>
      <c r="Z50" t="s">
        <v>744</v>
      </c>
      <c r="AA50" t="s">
        <v>746</v>
      </c>
      <c r="AB50" t="s">
        <v>259</v>
      </c>
      <c r="AC50" t="s">
        <v>749</v>
      </c>
    </row>
    <row r="51" spans="1:29" x14ac:dyDescent="0.2">
      <c r="A51" s="605"/>
      <c r="B51" s="537" t="s">
        <v>1014</v>
      </c>
      <c r="C51" s="469">
        <f t="shared" ref="C51:AC51" si="15">((2^(1/12))^(C4+5-49))*440</f>
        <v>349.22823143300388</v>
      </c>
      <c r="D51" s="469">
        <f t="shared" si="15"/>
        <v>369.99442271163434</v>
      </c>
      <c r="E51" s="469">
        <f t="shared" si="15"/>
        <v>391.99543598174927</v>
      </c>
      <c r="F51" s="469">
        <f t="shared" si="15"/>
        <v>415.30469757994513</v>
      </c>
      <c r="G51" s="469">
        <f t="shared" si="15"/>
        <v>440</v>
      </c>
      <c r="H51" s="469">
        <f t="shared" si="15"/>
        <v>466.16376151808993</v>
      </c>
      <c r="I51" s="469">
        <f t="shared" si="15"/>
        <v>493.88330125612413</v>
      </c>
      <c r="J51" s="469">
        <f t="shared" si="15"/>
        <v>523.25113060119736</v>
      </c>
      <c r="K51" s="469">
        <f t="shared" si="15"/>
        <v>554.36526195374415</v>
      </c>
      <c r="L51" s="469">
        <f t="shared" si="15"/>
        <v>587.32953583481515</v>
      </c>
      <c r="M51" s="469">
        <f t="shared" si="15"/>
        <v>622.25396744416184</v>
      </c>
      <c r="N51" s="469">
        <f t="shared" si="15"/>
        <v>659.25511382573995</v>
      </c>
      <c r="O51" s="469">
        <f t="shared" si="15"/>
        <v>698.45646286600777</v>
      </c>
      <c r="P51" s="469">
        <f t="shared" si="15"/>
        <v>739.98884542326891</v>
      </c>
      <c r="Q51" s="469">
        <f t="shared" si="15"/>
        <v>783.99087196349865</v>
      </c>
      <c r="R51" s="469">
        <f t="shared" si="15"/>
        <v>830.60939515989048</v>
      </c>
      <c r="S51" s="469">
        <f t="shared" si="15"/>
        <v>880</v>
      </c>
      <c r="T51" s="469">
        <f t="shared" si="15"/>
        <v>932.32752303617985</v>
      </c>
      <c r="U51" s="469">
        <f t="shared" si="15"/>
        <v>987.76660251224848</v>
      </c>
      <c r="V51" s="469">
        <f t="shared" si="15"/>
        <v>1046.5022612023947</v>
      </c>
      <c r="W51" s="469">
        <f t="shared" si="15"/>
        <v>1108.7305239074885</v>
      </c>
      <c r="X51" s="469">
        <f t="shared" si="15"/>
        <v>1174.6590716696305</v>
      </c>
      <c r="Y51" s="469">
        <f t="shared" si="15"/>
        <v>1244.5079348883239</v>
      </c>
      <c r="Z51" s="469">
        <f t="shared" si="15"/>
        <v>1318.5102276514801</v>
      </c>
      <c r="AA51" s="469">
        <f t="shared" si="15"/>
        <v>1396.9129257320158</v>
      </c>
      <c r="AB51" s="469">
        <f t="shared" si="15"/>
        <v>1479.9776908465378</v>
      </c>
      <c r="AC51" s="469">
        <f t="shared" si="15"/>
        <v>1567.9817439269975</v>
      </c>
    </row>
    <row r="52" spans="1:29" x14ac:dyDescent="0.2">
      <c r="A52" s="605"/>
      <c r="B52" s="537" t="s">
        <v>1109</v>
      </c>
      <c r="C52" s="612"/>
      <c r="D52" s="612"/>
      <c r="E52" s="612"/>
      <c r="F52" s="612"/>
      <c r="G52" s="612"/>
      <c r="H52" s="612"/>
      <c r="I52" s="612"/>
      <c r="J52" s="612"/>
      <c r="K52" s="612"/>
      <c r="L52" s="612"/>
      <c r="M52" s="612"/>
      <c r="N52" s="612"/>
      <c r="O52" s="612"/>
      <c r="P52" s="612"/>
      <c r="Q52" s="612"/>
      <c r="R52" s="612"/>
      <c r="S52" s="612"/>
      <c r="T52" s="612"/>
      <c r="U52" s="612"/>
      <c r="V52" s="612"/>
      <c r="W52" s="612"/>
      <c r="X52" s="612"/>
      <c r="Y52" s="612"/>
      <c r="Z52" s="612"/>
      <c r="AA52" s="612"/>
      <c r="AB52" s="612"/>
      <c r="AC52" s="612"/>
    </row>
    <row r="53" spans="1:29" x14ac:dyDescent="0.2">
      <c r="A53" s="605"/>
      <c r="B53" s="537" t="s">
        <v>1110</v>
      </c>
      <c r="C53" s="482">
        <f t="shared" ref="C53:AC53" si="16">C32*C37/C51</f>
        <v>19.402784168381046</v>
      </c>
      <c r="D53" s="482">
        <f t="shared" si="16"/>
        <v>18.313789571041909</v>
      </c>
      <c r="E53" s="482">
        <f t="shared" si="16"/>
        <v>17.285915543964347</v>
      </c>
      <c r="F53" s="482">
        <f t="shared" si="16"/>
        <v>16.315731653133149</v>
      </c>
      <c r="G53" s="482">
        <f t="shared" si="16"/>
        <v>15.4</v>
      </c>
      <c r="H53" s="482">
        <f t="shared" si="16"/>
        <v>14.535664415298079</v>
      </c>
      <c r="I53" s="482">
        <f t="shared" si="16"/>
        <v>13.719840259361227</v>
      </c>
      <c r="J53" s="482">
        <f t="shared" si="16"/>
        <v>12.949804794907203</v>
      </c>
      <c r="K53" s="482">
        <f t="shared" si="16"/>
        <v>12.222988100155138</v>
      </c>
      <c r="L53" s="482">
        <f t="shared" si="16"/>
        <v>11.536964491950448</v>
      </c>
      <c r="M53" s="482">
        <f t="shared" si="16"/>
        <v>10.889444430272832</v>
      </c>
      <c r="N53" s="482">
        <f t="shared" si="16"/>
        <v>10.278266877109264</v>
      </c>
      <c r="O53" s="482">
        <f t="shared" si="16"/>
        <v>9.7013920841905232</v>
      </c>
      <c r="P53" s="482">
        <f t="shared" si="16"/>
        <v>9.1568947855209508</v>
      </c>
      <c r="Q53" s="482">
        <f t="shared" si="16"/>
        <v>8.6429577719821715</v>
      </c>
      <c r="R53" s="482">
        <f t="shared" si="16"/>
        <v>8.1578658265665709</v>
      </c>
      <c r="S53" s="482">
        <f t="shared" si="16"/>
        <v>7.7</v>
      </c>
      <c r="T53" s="482">
        <f t="shared" si="16"/>
        <v>7.2678322076490396</v>
      </c>
      <c r="U53" s="482">
        <f t="shared" si="16"/>
        <v>6.8599201296806109</v>
      </c>
      <c r="V53" s="482">
        <f t="shared" si="16"/>
        <v>6.4749023974536009</v>
      </c>
      <c r="W53" s="482">
        <f t="shared" si="16"/>
        <v>6.1114940500775665</v>
      </c>
      <c r="X53" s="482">
        <f t="shared" si="16"/>
        <v>5.7684822459752221</v>
      </c>
      <c r="Y53" s="482">
        <f t="shared" si="16"/>
        <v>5.444722215136415</v>
      </c>
      <c r="Z53" s="482">
        <f t="shared" si="16"/>
        <v>5.139133438554631</v>
      </c>
      <c r="AA53" s="482">
        <f t="shared" si="16"/>
        <v>4.8506960420952607</v>
      </c>
      <c r="AB53" s="482">
        <f t="shared" si="16"/>
        <v>4.5784473927604754</v>
      </c>
      <c r="AC53" s="482">
        <f t="shared" si="16"/>
        <v>4.3214788859910849</v>
      </c>
    </row>
    <row r="54" spans="1:29" x14ac:dyDescent="0.2">
      <c r="A54" s="604" t="s">
        <v>1114</v>
      </c>
      <c r="B54" s="537" t="s">
        <v>785</v>
      </c>
      <c r="C54" t="s">
        <v>13</v>
      </c>
      <c r="D54" t="s">
        <v>14</v>
      </c>
      <c r="E54" t="s">
        <v>15</v>
      </c>
      <c r="F54" t="s">
        <v>16</v>
      </c>
      <c r="G54" t="s">
        <v>17</v>
      </c>
      <c r="H54" t="s">
        <v>18</v>
      </c>
      <c r="I54" t="s">
        <v>19</v>
      </c>
      <c r="J54" t="s">
        <v>20</v>
      </c>
      <c r="K54" t="s">
        <v>35</v>
      </c>
      <c r="L54" t="s">
        <v>210</v>
      </c>
      <c r="M54" t="s">
        <v>211</v>
      </c>
      <c r="N54" t="s">
        <v>45</v>
      </c>
      <c r="O54" t="s">
        <v>212</v>
      </c>
      <c r="P54" t="s">
        <v>213</v>
      </c>
      <c r="Q54" t="s">
        <v>725</v>
      </c>
      <c r="R54" t="s">
        <v>53</v>
      </c>
      <c r="S54" t="s">
        <v>734</v>
      </c>
      <c r="T54" t="s">
        <v>737</v>
      </c>
      <c r="U54" t="s">
        <v>214</v>
      </c>
      <c r="V54" t="s">
        <v>740</v>
      </c>
      <c r="W54" t="s">
        <v>247</v>
      </c>
      <c r="X54" t="s">
        <v>744</v>
      </c>
      <c r="Y54" t="s">
        <v>746</v>
      </c>
      <c r="Z54" t="s">
        <v>259</v>
      </c>
      <c r="AA54" t="s">
        <v>749</v>
      </c>
      <c r="AB54" t="s">
        <v>751</v>
      </c>
      <c r="AC54" t="s">
        <v>887</v>
      </c>
    </row>
    <row r="55" spans="1:29" x14ac:dyDescent="0.2">
      <c r="A55" s="605"/>
      <c r="B55" s="537" t="s">
        <v>1014</v>
      </c>
      <c r="C55" s="469">
        <f t="shared" ref="C55:AC55" si="17">((2^(1/12))^(C4+7-49))*440</f>
        <v>391.99543598174927</v>
      </c>
      <c r="D55" s="469">
        <f t="shared" si="17"/>
        <v>415.30469757994513</v>
      </c>
      <c r="E55" s="469">
        <f t="shared" si="17"/>
        <v>440</v>
      </c>
      <c r="F55" s="469">
        <f t="shared" si="17"/>
        <v>466.16376151808993</v>
      </c>
      <c r="G55" s="469">
        <f t="shared" si="17"/>
        <v>493.88330125612413</v>
      </c>
      <c r="H55" s="469">
        <f t="shared" si="17"/>
        <v>523.25113060119736</v>
      </c>
      <c r="I55" s="469">
        <f t="shared" si="17"/>
        <v>554.36526195374415</v>
      </c>
      <c r="J55" s="469">
        <f t="shared" si="17"/>
        <v>587.32953583481515</v>
      </c>
      <c r="K55" s="469">
        <f t="shared" si="17"/>
        <v>622.25396744416184</v>
      </c>
      <c r="L55" s="469">
        <f t="shared" si="17"/>
        <v>659.25511382573995</v>
      </c>
      <c r="M55" s="469">
        <f t="shared" si="17"/>
        <v>698.45646286600777</v>
      </c>
      <c r="N55" s="469">
        <f t="shared" si="17"/>
        <v>739.98884542326891</v>
      </c>
      <c r="O55" s="469">
        <f t="shared" si="17"/>
        <v>783.99087196349865</v>
      </c>
      <c r="P55" s="469">
        <f t="shared" si="17"/>
        <v>830.60939515989048</v>
      </c>
      <c r="Q55" s="469">
        <f t="shared" si="17"/>
        <v>880</v>
      </c>
      <c r="R55" s="469">
        <f t="shared" si="17"/>
        <v>932.32752303617985</v>
      </c>
      <c r="S55" s="469">
        <f t="shared" si="17"/>
        <v>987.76660251224848</v>
      </c>
      <c r="T55" s="469">
        <f t="shared" si="17"/>
        <v>1046.5022612023947</v>
      </c>
      <c r="U55" s="469">
        <f t="shared" si="17"/>
        <v>1108.7305239074885</v>
      </c>
      <c r="V55" s="469">
        <f t="shared" si="17"/>
        <v>1174.6590716696305</v>
      </c>
      <c r="W55" s="469">
        <f t="shared" si="17"/>
        <v>1244.5079348883239</v>
      </c>
      <c r="X55" s="469">
        <f t="shared" si="17"/>
        <v>1318.5102276514801</v>
      </c>
      <c r="Y55" s="469">
        <f t="shared" si="17"/>
        <v>1396.9129257320158</v>
      </c>
      <c r="Z55" s="469">
        <f t="shared" si="17"/>
        <v>1479.9776908465378</v>
      </c>
      <c r="AA55" s="469">
        <f t="shared" si="17"/>
        <v>1567.9817439269975</v>
      </c>
      <c r="AB55" s="469">
        <f t="shared" si="17"/>
        <v>1661.2187903197812</v>
      </c>
      <c r="AC55" s="469">
        <f t="shared" si="17"/>
        <v>1760.0000000000005</v>
      </c>
    </row>
    <row r="56" spans="1:29" x14ac:dyDescent="0.2">
      <c r="A56" s="605"/>
      <c r="B56" s="537" t="s">
        <v>1109</v>
      </c>
      <c r="C56" s="612"/>
      <c r="D56" s="612"/>
      <c r="E56" s="612"/>
      <c r="F56" s="612"/>
      <c r="G56" s="612"/>
      <c r="H56" s="612"/>
      <c r="I56" s="612"/>
      <c r="J56" s="612"/>
      <c r="K56" s="612"/>
      <c r="L56" s="612"/>
      <c r="M56" s="612"/>
      <c r="N56" s="612"/>
      <c r="O56" s="612"/>
      <c r="P56" s="612"/>
      <c r="Q56" s="612"/>
      <c r="R56" s="612"/>
      <c r="S56" s="612"/>
      <c r="T56" s="612"/>
      <c r="U56" s="612"/>
      <c r="V56" s="612"/>
      <c r="W56" s="612"/>
      <c r="X56" s="612"/>
      <c r="Y56" s="612"/>
      <c r="Z56" s="612"/>
      <c r="AA56" s="612"/>
      <c r="AB56" s="612"/>
      <c r="AC56" s="612"/>
    </row>
    <row r="57" spans="1:29" x14ac:dyDescent="0.2">
      <c r="A57" s="605"/>
      <c r="B57" s="537" t="s">
        <v>1110</v>
      </c>
      <c r="C57" s="482">
        <f t="shared" ref="C57:AC57" si="18">C32*C37/C55</f>
        <v>17.285915543964347</v>
      </c>
      <c r="D57" s="482">
        <f t="shared" si="18"/>
        <v>16.315731653133149</v>
      </c>
      <c r="E57" s="482">
        <f t="shared" si="18"/>
        <v>15.4</v>
      </c>
      <c r="F57" s="482">
        <f t="shared" si="18"/>
        <v>14.535664415298079</v>
      </c>
      <c r="G57" s="482">
        <f t="shared" si="18"/>
        <v>13.719840259361225</v>
      </c>
      <c r="H57" s="482">
        <f t="shared" si="18"/>
        <v>12.949804794907202</v>
      </c>
      <c r="I57" s="482">
        <f t="shared" si="18"/>
        <v>12.222988100155138</v>
      </c>
      <c r="J57" s="482">
        <f t="shared" si="18"/>
        <v>11.536964491950448</v>
      </c>
      <c r="K57" s="482">
        <f t="shared" si="18"/>
        <v>10.889444430272833</v>
      </c>
      <c r="L57" s="482">
        <f t="shared" si="18"/>
        <v>10.278266877109264</v>
      </c>
      <c r="M57" s="482">
        <f t="shared" si="18"/>
        <v>9.7013920841905232</v>
      </c>
      <c r="N57" s="482">
        <f t="shared" si="18"/>
        <v>9.1568947855209508</v>
      </c>
      <c r="O57" s="482">
        <f t="shared" si="18"/>
        <v>8.6429577719821715</v>
      </c>
      <c r="P57" s="482">
        <f t="shared" si="18"/>
        <v>8.1578658265665709</v>
      </c>
      <c r="Q57" s="482">
        <f t="shared" si="18"/>
        <v>7.7</v>
      </c>
      <c r="R57" s="482">
        <f t="shared" si="18"/>
        <v>7.2678322076490396</v>
      </c>
      <c r="S57" s="482">
        <f t="shared" si="18"/>
        <v>6.8599201296806109</v>
      </c>
      <c r="T57" s="482">
        <f t="shared" si="18"/>
        <v>6.4749023974536009</v>
      </c>
      <c r="U57" s="482">
        <f t="shared" si="18"/>
        <v>6.1114940500775674</v>
      </c>
      <c r="V57" s="482">
        <f t="shared" si="18"/>
        <v>5.7684822459752221</v>
      </c>
      <c r="W57" s="482">
        <f t="shared" si="18"/>
        <v>5.4447222151364141</v>
      </c>
      <c r="X57" s="482">
        <f t="shared" si="18"/>
        <v>5.139133438554631</v>
      </c>
      <c r="Y57" s="482">
        <f t="shared" si="18"/>
        <v>4.8506960420952607</v>
      </c>
      <c r="Z57" s="482">
        <f t="shared" si="18"/>
        <v>4.5784473927604754</v>
      </c>
      <c r="AA57" s="482">
        <f t="shared" si="18"/>
        <v>4.3214788859910849</v>
      </c>
      <c r="AB57" s="482">
        <f t="shared" si="18"/>
        <v>4.0789329132832854</v>
      </c>
      <c r="AC57" s="482">
        <f t="shared" si="18"/>
        <v>3.8499999999999992</v>
      </c>
    </row>
    <row r="58" spans="1:29" x14ac:dyDescent="0.2">
      <c r="A58" s="604" t="s">
        <v>1115</v>
      </c>
      <c r="B58" s="537" t="s">
        <v>785</v>
      </c>
      <c r="C58" t="s">
        <v>15</v>
      </c>
      <c r="D58" t="s">
        <v>16</v>
      </c>
      <c r="E58" t="s">
        <v>17</v>
      </c>
      <c r="F58" t="s">
        <v>18</v>
      </c>
      <c r="G58" t="s">
        <v>19</v>
      </c>
      <c r="H58" t="s">
        <v>20</v>
      </c>
      <c r="I58" t="s">
        <v>35</v>
      </c>
      <c r="J58" t="s">
        <v>210</v>
      </c>
      <c r="K58" t="s">
        <v>211</v>
      </c>
      <c r="L58" t="s">
        <v>45</v>
      </c>
      <c r="M58" t="s">
        <v>212</v>
      </c>
      <c r="N58" t="s">
        <v>213</v>
      </c>
      <c r="O58" t="s">
        <v>725</v>
      </c>
      <c r="P58" t="s">
        <v>53</v>
      </c>
      <c r="Q58" t="s">
        <v>734</v>
      </c>
      <c r="R58" t="s">
        <v>737</v>
      </c>
      <c r="S58" t="s">
        <v>214</v>
      </c>
      <c r="T58" t="s">
        <v>740</v>
      </c>
      <c r="U58" t="s">
        <v>247</v>
      </c>
      <c r="V58" t="s">
        <v>744</v>
      </c>
      <c r="W58" t="s">
        <v>746</v>
      </c>
      <c r="X58" t="s">
        <v>259</v>
      </c>
      <c r="Y58" t="s">
        <v>749</v>
      </c>
      <c r="Z58" t="s">
        <v>751</v>
      </c>
      <c r="AA58" t="s">
        <v>887</v>
      </c>
      <c r="AB58" t="s">
        <v>265</v>
      </c>
      <c r="AC58" t="s">
        <v>888</v>
      </c>
    </row>
    <row r="59" spans="1:29" x14ac:dyDescent="0.2">
      <c r="A59" s="605"/>
      <c r="B59" s="537" t="s">
        <v>1014</v>
      </c>
      <c r="C59" s="469">
        <f t="shared" ref="C59:AC59" si="19">((2^(1/12))^(C4+9-49))*440</f>
        <v>440</v>
      </c>
      <c r="D59" s="469">
        <f t="shared" si="19"/>
        <v>466.16376151808993</v>
      </c>
      <c r="E59" s="469">
        <f t="shared" si="19"/>
        <v>493.88330125612413</v>
      </c>
      <c r="F59" s="469">
        <f t="shared" si="19"/>
        <v>523.25113060119736</v>
      </c>
      <c r="G59" s="469">
        <f t="shared" si="19"/>
        <v>554.36526195374415</v>
      </c>
      <c r="H59" s="469">
        <f t="shared" si="19"/>
        <v>587.32953583481515</v>
      </c>
      <c r="I59" s="469">
        <f t="shared" si="19"/>
        <v>622.25396744416184</v>
      </c>
      <c r="J59" s="469">
        <f t="shared" si="19"/>
        <v>659.25511382573995</v>
      </c>
      <c r="K59" s="469">
        <f t="shared" si="19"/>
        <v>698.45646286600777</v>
      </c>
      <c r="L59" s="469">
        <f t="shared" si="19"/>
        <v>739.98884542326891</v>
      </c>
      <c r="M59" s="469">
        <f t="shared" si="19"/>
        <v>783.99087196349865</v>
      </c>
      <c r="N59" s="469">
        <f t="shared" si="19"/>
        <v>830.60939515989048</v>
      </c>
      <c r="O59" s="469">
        <f t="shared" si="19"/>
        <v>880</v>
      </c>
      <c r="P59" s="469">
        <f t="shared" si="19"/>
        <v>932.32752303617985</v>
      </c>
      <c r="Q59" s="469">
        <f t="shared" si="19"/>
        <v>987.76660251224848</v>
      </c>
      <c r="R59" s="469">
        <f t="shared" si="19"/>
        <v>1046.5022612023947</v>
      </c>
      <c r="S59" s="469">
        <f t="shared" si="19"/>
        <v>1108.7305239074885</v>
      </c>
      <c r="T59" s="469">
        <f t="shared" si="19"/>
        <v>1174.6590716696305</v>
      </c>
      <c r="U59" s="469">
        <f t="shared" si="19"/>
        <v>1244.5079348883239</v>
      </c>
      <c r="V59" s="469">
        <f t="shared" si="19"/>
        <v>1318.5102276514801</v>
      </c>
      <c r="W59" s="469">
        <f t="shared" si="19"/>
        <v>1396.9129257320158</v>
      </c>
      <c r="X59" s="469">
        <f t="shared" si="19"/>
        <v>1479.9776908465378</v>
      </c>
      <c r="Y59" s="469">
        <f t="shared" si="19"/>
        <v>1567.9817439269975</v>
      </c>
      <c r="Z59" s="469">
        <f t="shared" si="19"/>
        <v>1661.2187903197812</v>
      </c>
      <c r="AA59" s="469">
        <f t="shared" si="19"/>
        <v>1760.0000000000005</v>
      </c>
      <c r="AB59" s="469">
        <f t="shared" si="19"/>
        <v>1864.6550460723602</v>
      </c>
      <c r="AC59" s="469">
        <f t="shared" si="19"/>
        <v>1975.533205024497</v>
      </c>
    </row>
    <row r="60" spans="1:29" x14ac:dyDescent="0.2">
      <c r="A60" s="605"/>
      <c r="B60" s="537" t="s">
        <v>1109</v>
      </c>
      <c r="C60" s="612"/>
      <c r="D60" s="612"/>
      <c r="E60" s="612"/>
      <c r="F60" s="612"/>
      <c r="G60" s="612"/>
      <c r="H60" s="612"/>
      <c r="I60" s="612"/>
      <c r="J60" s="612"/>
      <c r="K60" s="612"/>
      <c r="L60" s="612"/>
      <c r="M60" s="612"/>
      <c r="N60" s="612"/>
      <c r="O60" s="612"/>
      <c r="P60" s="612"/>
      <c r="Q60" s="612"/>
      <c r="R60" s="612"/>
      <c r="S60" s="612"/>
      <c r="T60" s="612"/>
      <c r="U60" s="612"/>
      <c r="V60" s="612"/>
      <c r="W60" s="612"/>
      <c r="X60" s="612"/>
      <c r="Y60" s="612"/>
      <c r="Z60" s="612"/>
      <c r="AA60" s="612"/>
      <c r="AB60" s="612"/>
      <c r="AC60" s="612"/>
    </row>
    <row r="61" spans="1:29" x14ac:dyDescent="0.2">
      <c r="A61" s="605"/>
      <c r="B61" s="537" t="s">
        <v>1110</v>
      </c>
      <c r="C61" s="482">
        <f t="shared" ref="C61:AC61" si="20">C32*C37/C59</f>
        <v>15.4</v>
      </c>
      <c r="D61" s="482">
        <f t="shared" si="20"/>
        <v>14.535664415298079</v>
      </c>
      <c r="E61" s="482">
        <f t="shared" si="20"/>
        <v>13.719840259361225</v>
      </c>
      <c r="F61" s="482">
        <f t="shared" si="20"/>
        <v>12.949804794907202</v>
      </c>
      <c r="G61" s="482">
        <f t="shared" si="20"/>
        <v>12.222988100155137</v>
      </c>
      <c r="H61" s="482">
        <f t="shared" si="20"/>
        <v>11.536964491950448</v>
      </c>
      <c r="I61" s="482">
        <f t="shared" si="20"/>
        <v>10.889444430272833</v>
      </c>
      <c r="J61" s="482">
        <f t="shared" si="20"/>
        <v>10.278266877109264</v>
      </c>
      <c r="K61" s="482">
        <f t="shared" si="20"/>
        <v>9.701392084190525</v>
      </c>
      <c r="L61" s="482">
        <f t="shared" si="20"/>
        <v>9.1568947855209508</v>
      </c>
      <c r="M61" s="482">
        <f t="shared" si="20"/>
        <v>8.6429577719821715</v>
      </c>
      <c r="N61" s="482">
        <f t="shared" si="20"/>
        <v>8.1578658265665709</v>
      </c>
      <c r="O61" s="482">
        <f t="shared" si="20"/>
        <v>7.7</v>
      </c>
      <c r="P61" s="482">
        <f t="shared" si="20"/>
        <v>7.2678322076490396</v>
      </c>
      <c r="Q61" s="482">
        <f t="shared" si="20"/>
        <v>6.8599201296806109</v>
      </c>
      <c r="R61" s="482">
        <f t="shared" si="20"/>
        <v>6.4749023974536009</v>
      </c>
      <c r="S61" s="482">
        <f t="shared" si="20"/>
        <v>6.1114940500775674</v>
      </c>
      <c r="T61" s="482">
        <f t="shared" si="20"/>
        <v>5.7684822459752221</v>
      </c>
      <c r="U61" s="482">
        <f t="shared" si="20"/>
        <v>5.444722215136415</v>
      </c>
      <c r="V61" s="482">
        <f t="shared" si="20"/>
        <v>5.139133438554631</v>
      </c>
      <c r="W61" s="482">
        <f t="shared" si="20"/>
        <v>4.8506960420952598</v>
      </c>
      <c r="X61" s="482">
        <f t="shared" si="20"/>
        <v>4.5784473927604754</v>
      </c>
      <c r="Y61" s="482">
        <f t="shared" si="20"/>
        <v>4.3214788859910849</v>
      </c>
      <c r="Z61" s="482">
        <f t="shared" si="20"/>
        <v>4.0789329132832854</v>
      </c>
      <c r="AA61" s="482">
        <f t="shared" si="20"/>
        <v>3.8499999999999992</v>
      </c>
      <c r="AB61" s="482">
        <f t="shared" si="20"/>
        <v>3.6339161038245189</v>
      </c>
      <c r="AC61" s="482">
        <f t="shared" si="20"/>
        <v>3.4299600648403055</v>
      </c>
    </row>
    <row r="62" spans="1:29" x14ac:dyDescent="0.2">
      <c r="A62" s="604" t="s">
        <v>1116</v>
      </c>
      <c r="B62" s="537" t="s">
        <v>785</v>
      </c>
      <c r="C62" t="s">
        <v>16</v>
      </c>
      <c r="D62" t="s">
        <v>17</v>
      </c>
      <c r="E62" t="s">
        <v>18</v>
      </c>
      <c r="F62" t="s">
        <v>19</v>
      </c>
      <c r="G62" t="s">
        <v>20</v>
      </c>
      <c r="H62" t="s">
        <v>35</v>
      </c>
      <c r="I62" t="s">
        <v>210</v>
      </c>
      <c r="J62" t="s">
        <v>211</v>
      </c>
      <c r="K62" t="s">
        <v>45</v>
      </c>
      <c r="L62" t="s">
        <v>212</v>
      </c>
      <c r="M62" t="s">
        <v>213</v>
      </c>
      <c r="N62" t="s">
        <v>725</v>
      </c>
      <c r="O62" t="s">
        <v>53</v>
      </c>
      <c r="P62" t="s">
        <v>734</v>
      </c>
      <c r="Q62" t="s">
        <v>737</v>
      </c>
      <c r="R62" t="s">
        <v>214</v>
      </c>
      <c r="S62" t="s">
        <v>740</v>
      </c>
      <c r="T62" t="s">
        <v>247</v>
      </c>
      <c r="U62" t="s">
        <v>744</v>
      </c>
      <c r="V62" t="s">
        <v>746</v>
      </c>
      <c r="W62" t="s">
        <v>259</v>
      </c>
      <c r="X62" t="s">
        <v>749</v>
      </c>
      <c r="Y62" t="s">
        <v>751</v>
      </c>
      <c r="Z62" t="s">
        <v>887</v>
      </c>
      <c r="AA62" t="s">
        <v>265</v>
      </c>
      <c r="AB62" t="s">
        <v>888</v>
      </c>
      <c r="AC62" t="s">
        <v>889</v>
      </c>
    </row>
    <row r="63" spans="1:29" x14ac:dyDescent="0.2">
      <c r="A63" s="605"/>
      <c r="B63" s="537" t="s">
        <v>1014</v>
      </c>
      <c r="C63" s="469">
        <f t="shared" ref="C63:AC63" si="21">((2^(1/12))^(C4+10-49))*440</f>
        <v>466.16376151808993</v>
      </c>
      <c r="D63" s="469">
        <f t="shared" si="21"/>
        <v>493.88330125612413</v>
      </c>
      <c r="E63" s="469">
        <f t="shared" si="21"/>
        <v>523.25113060119736</v>
      </c>
      <c r="F63" s="469">
        <f t="shared" si="21"/>
        <v>554.36526195374415</v>
      </c>
      <c r="G63" s="469">
        <f t="shared" si="21"/>
        <v>587.32953583481515</v>
      </c>
      <c r="H63" s="469">
        <f t="shared" si="21"/>
        <v>622.25396744416184</v>
      </c>
      <c r="I63" s="469">
        <f t="shared" si="21"/>
        <v>659.25511382573995</v>
      </c>
      <c r="J63" s="469">
        <f t="shared" si="21"/>
        <v>698.45646286600777</v>
      </c>
      <c r="K63" s="469">
        <f t="shared" si="21"/>
        <v>739.98884542326891</v>
      </c>
      <c r="L63" s="469">
        <f t="shared" si="21"/>
        <v>783.99087196349865</v>
      </c>
      <c r="M63" s="469">
        <f t="shared" si="21"/>
        <v>830.60939515989048</v>
      </c>
      <c r="N63" s="469">
        <f t="shared" si="21"/>
        <v>880</v>
      </c>
      <c r="O63" s="469">
        <f t="shared" si="21"/>
        <v>932.32752303617985</v>
      </c>
      <c r="P63" s="469">
        <f t="shared" si="21"/>
        <v>987.76660251224848</v>
      </c>
      <c r="Q63" s="469">
        <f t="shared" si="21"/>
        <v>1046.5022612023947</v>
      </c>
      <c r="R63" s="469">
        <f t="shared" si="21"/>
        <v>1108.7305239074885</v>
      </c>
      <c r="S63" s="469">
        <f t="shared" si="21"/>
        <v>1174.6590716696305</v>
      </c>
      <c r="T63" s="469">
        <f t="shared" si="21"/>
        <v>1244.5079348883239</v>
      </c>
      <c r="U63" s="469">
        <f t="shared" si="21"/>
        <v>1318.5102276514801</v>
      </c>
      <c r="V63" s="469">
        <f t="shared" si="21"/>
        <v>1396.9129257320158</v>
      </c>
      <c r="W63" s="469">
        <f t="shared" si="21"/>
        <v>1479.9776908465378</v>
      </c>
      <c r="X63" s="469">
        <f t="shared" si="21"/>
        <v>1567.9817439269975</v>
      </c>
      <c r="Y63" s="469">
        <f t="shared" si="21"/>
        <v>1661.2187903197812</v>
      </c>
      <c r="Z63" s="469">
        <f t="shared" si="21"/>
        <v>1760.0000000000005</v>
      </c>
      <c r="AA63" s="469">
        <f t="shared" si="21"/>
        <v>1864.6550460723602</v>
      </c>
      <c r="AB63" s="469">
        <f t="shared" si="21"/>
        <v>1975.533205024497</v>
      </c>
      <c r="AC63" s="469">
        <f t="shared" si="21"/>
        <v>2093.0045224047904</v>
      </c>
    </row>
    <row r="64" spans="1:29" x14ac:dyDescent="0.2">
      <c r="A64" s="605"/>
      <c r="B64" s="537" t="s">
        <v>1109</v>
      </c>
      <c r="C64" s="612"/>
      <c r="D64" s="612"/>
      <c r="E64" s="612"/>
      <c r="F64" s="612"/>
      <c r="G64" s="612"/>
      <c r="H64" s="612"/>
      <c r="I64" s="612"/>
      <c r="J64" s="612"/>
      <c r="K64" s="612"/>
      <c r="L64" s="612"/>
      <c r="M64" s="612"/>
      <c r="N64" s="612"/>
      <c r="O64" s="612"/>
      <c r="P64" s="612"/>
      <c r="Q64" s="612"/>
      <c r="R64" s="612"/>
      <c r="S64" s="612"/>
      <c r="T64" s="612"/>
      <c r="U64" s="612"/>
      <c r="V64" s="612"/>
      <c r="W64" s="612"/>
      <c r="X64" s="612"/>
      <c r="Y64" s="612"/>
      <c r="Z64" s="612"/>
      <c r="AA64" s="612"/>
      <c r="AB64" s="612"/>
      <c r="AC64" s="612"/>
    </row>
    <row r="65" spans="1:29" x14ac:dyDescent="0.2">
      <c r="A65" s="605"/>
      <c r="B65" s="537" t="s">
        <v>1110</v>
      </c>
      <c r="C65" s="482">
        <f t="shared" ref="C65:AC65" si="22">C32*C37/C63</f>
        <v>14.535664415298079</v>
      </c>
      <c r="D65" s="482">
        <f t="shared" si="22"/>
        <v>13.719840259361225</v>
      </c>
      <c r="E65" s="482">
        <f t="shared" si="22"/>
        <v>12.949804794907202</v>
      </c>
      <c r="F65" s="482">
        <f t="shared" si="22"/>
        <v>12.222988100155137</v>
      </c>
      <c r="G65" s="482">
        <f t="shared" si="22"/>
        <v>11.536964491950448</v>
      </c>
      <c r="H65" s="482">
        <f t="shared" si="22"/>
        <v>10.889444430272832</v>
      </c>
      <c r="I65" s="482">
        <f t="shared" si="22"/>
        <v>10.278266877109264</v>
      </c>
      <c r="J65" s="482">
        <f t="shared" si="22"/>
        <v>9.701392084190525</v>
      </c>
      <c r="K65" s="482">
        <f t="shared" si="22"/>
        <v>9.1568947855209526</v>
      </c>
      <c r="L65" s="482">
        <f t="shared" si="22"/>
        <v>8.6429577719821715</v>
      </c>
      <c r="M65" s="482">
        <f t="shared" si="22"/>
        <v>8.1578658265665709</v>
      </c>
      <c r="N65" s="482">
        <f t="shared" si="22"/>
        <v>7.7</v>
      </c>
      <c r="O65" s="482">
        <f t="shared" si="22"/>
        <v>7.2678322076490396</v>
      </c>
      <c r="P65" s="482">
        <f t="shared" si="22"/>
        <v>6.8599201296806109</v>
      </c>
      <c r="Q65" s="482">
        <f t="shared" si="22"/>
        <v>6.4749023974536009</v>
      </c>
      <c r="R65" s="482">
        <f t="shared" si="22"/>
        <v>6.1114940500775674</v>
      </c>
      <c r="S65" s="482">
        <f t="shared" si="22"/>
        <v>5.7684822459752221</v>
      </c>
      <c r="T65" s="482">
        <f t="shared" si="22"/>
        <v>5.444722215136415</v>
      </c>
      <c r="U65" s="482">
        <f t="shared" si="22"/>
        <v>5.139133438554631</v>
      </c>
      <c r="V65" s="482">
        <f t="shared" si="22"/>
        <v>4.8506960420952607</v>
      </c>
      <c r="W65" s="482">
        <f t="shared" si="22"/>
        <v>4.5784473927604745</v>
      </c>
      <c r="X65" s="482">
        <f t="shared" si="22"/>
        <v>4.3214788859910849</v>
      </c>
      <c r="Y65" s="482">
        <f t="shared" si="22"/>
        <v>4.0789329132832854</v>
      </c>
      <c r="Z65" s="482">
        <f t="shared" si="22"/>
        <v>3.8499999999999992</v>
      </c>
      <c r="AA65" s="482">
        <f t="shared" si="22"/>
        <v>3.6339161038245189</v>
      </c>
      <c r="AB65" s="482">
        <f t="shared" si="22"/>
        <v>3.4299600648403055</v>
      </c>
      <c r="AC65" s="482">
        <f t="shared" si="22"/>
        <v>3.2374511987267991</v>
      </c>
    </row>
    <row r="66" spans="1:29" x14ac:dyDescent="0.2">
      <c r="A66" s="604" t="s">
        <v>1117</v>
      </c>
      <c r="B66" s="537" t="s">
        <v>785</v>
      </c>
      <c r="C66" t="s">
        <v>17</v>
      </c>
      <c r="D66" t="s">
        <v>18</v>
      </c>
      <c r="E66" t="s">
        <v>19</v>
      </c>
      <c r="F66" t="s">
        <v>20</v>
      </c>
      <c r="G66" t="s">
        <v>35</v>
      </c>
      <c r="H66" t="s">
        <v>210</v>
      </c>
      <c r="I66" t="s">
        <v>211</v>
      </c>
      <c r="J66" t="s">
        <v>45</v>
      </c>
      <c r="K66" t="s">
        <v>212</v>
      </c>
      <c r="L66" t="s">
        <v>213</v>
      </c>
      <c r="M66" t="s">
        <v>725</v>
      </c>
      <c r="N66" t="s">
        <v>53</v>
      </c>
      <c r="O66" t="s">
        <v>734</v>
      </c>
      <c r="P66" t="s">
        <v>737</v>
      </c>
      <c r="Q66" t="s">
        <v>214</v>
      </c>
      <c r="R66" t="s">
        <v>740</v>
      </c>
      <c r="S66" t="s">
        <v>247</v>
      </c>
      <c r="T66" t="s">
        <v>744</v>
      </c>
      <c r="U66" t="s">
        <v>746</v>
      </c>
      <c r="V66" t="s">
        <v>259</v>
      </c>
      <c r="W66" t="s">
        <v>749</v>
      </c>
      <c r="X66" t="s">
        <v>751</v>
      </c>
      <c r="Y66" t="s">
        <v>887</v>
      </c>
      <c r="Z66" t="s">
        <v>265</v>
      </c>
      <c r="AA66" t="s">
        <v>888</v>
      </c>
      <c r="AB66" t="s">
        <v>889</v>
      </c>
      <c r="AC66" t="s">
        <v>890</v>
      </c>
    </row>
    <row r="67" spans="1:29" x14ac:dyDescent="0.2">
      <c r="A67" s="605"/>
      <c r="B67" s="537" t="s">
        <v>1014</v>
      </c>
      <c r="C67" s="469">
        <f t="shared" ref="C67:AC67" si="23">((2^(1/12))^(C4+11-49))*440</f>
        <v>493.88330125612413</v>
      </c>
      <c r="D67" s="469">
        <f t="shared" si="23"/>
        <v>523.25113060119736</v>
      </c>
      <c r="E67" s="469">
        <f t="shared" si="23"/>
        <v>554.36526195374415</v>
      </c>
      <c r="F67" s="469">
        <f t="shared" si="23"/>
        <v>587.32953583481515</v>
      </c>
      <c r="G67" s="469">
        <f t="shared" si="23"/>
        <v>622.25396744416184</v>
      </c>
      <c r="H67" s="469">
        <f t="shared" si="23"/>
        <v>659.25511382573995</v>
      </c>
      <c r="I67" s="469">
        <f t="shared" si="23"/>
        <v>698.45646286600777</v>
      </c>
      <c r="J67" s="469">
        <f t="shared" si="23"/>
        <v>739.98884542326891</v>
      </c>
      <c r="K67" s="469">
        <f t="shared" si="23"/>
        <v>783.99087196349865</v>
      </c>
      <c r="L67" s="469">
        <f t="shared" si="23"/>
        <v>830.60939515989048</v>
      </c>
      <c r="M67" s="469">
        <f t="shared" si="23"/>
        <v>880</v>
      </c>
      <c r="N67" s="469">
        <f t="shared" si="23"/>
        <v>932.32752303617985</v>
      </c>
      <c r="O67" s="469">
        <f t="shared" si="23"/>
        <v>987.76660251224848</v>
      </c>
      <c r="P67" s="469">
        <f t="shared" si="23"/>
        <v>1046.5022612023947</v>
      </c>
      <c r="Q67" s="469">
        <f t="shared" si="23"/>
        <v>1108.7305239074885</v>
      </c>
      <c r="R67" s="469">
        <f t="shared" si="23"/>
        <v>1174.6590716696305</v>
      </c>
      <c r="S67" s="469">
        <f t="shared" si="23"/>
        <v>1244.5079348883239</v>
      </c>
      <c r="T67" s="469">
        <f t="shared" si="23"/>
        <v>1318.5102276514801</v>
      </c>
      <c r="U67" s="469">
        <f t="shared" si="23"/>
        <v>1396.9129257320158</v>
      </c>
      <c r="V67" s="469">
        <f t="shared" si="23"/>
        <v>1479.9776908465378</v>
      </c>
      <c r="W67" s="469">
        <f t="shared" si="23"/>
        <v>1567.9817439269975</v>
      </c>
      <c r="X67" s="469">
        <f t="shared" si="23"/>
        <v>1661.2187903197812</v>
      </c>
      <c r="Y67" s="469">
        <f t="shared" si="23"/>
        <v>1760.0000000000005</v>
      </c>
      <c r="Z67" s="469">
        <f t="shared" si="23"/>
        <v>1864.6550460723602</v>
      </c>
      <c r="AA67" s="469">
        <f t="shared" si="23"/>
        <v>1975.533205024497</v>
      </c>
      <c r="AB67" s="469">
        <f t="shared" si="23"/>
        <v>2093.0045224047904</v>
      </c>
      <c r="AC67" s="469">
        <f t="shared" si="23"/>
        <v>2217.4610478149771</v>
      </c>
    </row>
    <row r="68" spans="1:29" x14ac:dyDescent="0.2">
      <c r="A68" s="605"/>
      <c r="B68" s="537" t="s">
        <v>1109</v>
      </c>
      <c r="C68" s="612"/>
      <c r="D68" s="612"/>
      <c r="E68" s="612"/>
      <c r="F68" s="612"/>
      <c r="G68" s="612"/>
      <c r="H68" s="612"/>
      <c r="I68" s="612"/>
      <c r="J68" s="612"/>
      <c r="K68" s="612"/>
      <c r="L68" s="612"/>
      <c r="M68" s="612"/>
      <c r="N68" s="612"/>
      <c r="O68" s="612"/>
      <c r="P68" s="612"/>
      <c r="Q68" s="612"/>
      <c r="R68" s="612"/>
      <c r="S68" s="612"/>
      <c r="T68" s="612"/>
      <c r="U68" s="612"/>
      <c r="V68" s="612"/>
      <c r="W68" s="612"/>
      <c r="X68" s="612"/>
      <c r="Y68" s="612"/>
      <c r="Z68" s="612"/>
      <c r="AA68" s="612"/>
      <c r="AB68" s="612"/>
      <c r="AC68" s="612"/>
    </row>
    <row r="69" spans="1:29" x14ac:dyDescent="0.2">
      <c r="A69" s="605"/>
      <c r="B69" s="537" t="s">
        <v>1110</v>
      </c>
      <c r="C69" s="482">
        <f t="shared" ref="C69:AC69" si="24">C32*C37/C67</f>
        <v>13.719840259361225</v>
      </c>
      <c r="D69" s="482">
        <f t="shared" si="24"/>
        <v>12.949804794907202</v>
      </c>
      <c r="E69" s="482">
        <f t="shared" si="24"/>
        <v>12.222988100155137</v>
      </c>
      <c r="F69" s="482">
        <f t="shared" si="24"/>
        <v>11.536964491950448</v>
      </c>
      <c r="G69" s="482">
        <f t="shared" si="24"/>
        <v>10.889444430272832</v>
      </c>
      <c r="H69" s="482">
        <f t="shared" si="24"/>
        <v>10.278266877109264</v>
      </c>
      <c r="I69" s="482">
        <f t="shared" si="24"/>
        <v>9.701392084190525</v>
      </c>
      <c r="J69" s="482">
        <f t="shared" si="24"/>
        <v>9.1568947855209526</v>
      </c>
      <c r="K69" s="482">
        <f t="shared" si="24"/>
        <v>8.6429577719821733</v>
      </c>
      <c r="L69" s="482">
        <f t="shared" si="24"/>
        <v>8.1578658265665709</v>
      </c>
      <c r="M69" s="482">
        <f t="shared" si="24"/>
        <v>7.7</v>
      </c>
      <c r="N69" s="482">
        <f t="shared" si="24"/>
        <v>7.2678322076490396</v>
      </c>
      <c r="O69" s="482">
        <f t="shared" si="24"/>
        <v>6.8599201296806109</v>
      </c>
      <c r="P69" s="482">
        <f t="shared" si="24"/>
        <v>6.4749023974536009</v>
      </c>
      <c r="Q69" s="482">
        <f t="shared" si="24"/>
        <v>6.1114940500775674</v>
      </c>
      <c r="R69" s="482">
        <f t="shared" si="24"/>
        <v>5.7684822459752221</v>
      </c>
      <c r="S69" s="482">
        <f t="shared" si="24"/>
        <v>5.444722215136415</v>
      </c>
      <c r="T69" s="482">
        <f t="shared" si="24"/>
        <v>5.139133438554631</v>
      </c>
      <c r="U69" s="482">
        <f t="shared" si="24"/>
        <v>4.8506960420952607</v>
      </c>
      <c r="V69" s="482">
        <f t="shared" si="24"/>
        <v>4.5784473927604754</v>
      </c>
      <c r="W69" s="482">
        <f t="shared" si="24"/>
        <v>4.3214788859910849</v>
      </c>
      <c r="X69" s="482">
        <f t="shared" si="24"/>
        <v>4.0789329132832854</v>
      </c>
      <c r="Y69" s="482">
        <f t="shared" si="24"/>
        <v>3.8499999999999992</v>
      </c>
      <c r="Z69" s="482">
        <f t="shared" si="24"/>
        <v>3.6339161038245189</v>
      </c>
      <c r="AA69" s="482">
        <f t="shared" si="24"/>
        <v>3.4299600648403055</v>
      </c>
      <c r="AB69" s="482">
        <f t="shared" si="24"/>
        <v>3.2374511987267991</v>
      </c>
      <c r="AC69" s="482">
        <f t="shared" si="24"/>
        <v>3.0557470250387837</v>
      </c>
    </row>
    <row r="72" spans="1:29" ht="18" x14ac:dyDescent="0.25">
      <c r="A72" s="833" t="s">
        <v>6684</v>
      </c>
    </row>
    <row r="73" spans="1:29" x14ac:dyDescent="0.2">
      <c r="A73" s="734" t="s">
        <v>6685</v>
      </c>
    </row>
    <row r="75" spans="1:29" x14ac:dyDescent="0.2">
      <c r="A75" s="609" t="s">
        <v>6355</v>
      </c>
    </row>
    <row r="76" spans="1:29" x14ac:dyDescent="0.2">
      <c r="A76" t="s">
        <v>6686</v>
      </c>
    </row>
    <row r="77" spans="1:29" x14ac:dyDescent="0.2">
      <c r="A77" s="759" t="s">
        <v>6687</v>
      </c>
    </row>
    <row r="78" spans="1:29" x14ac:dyDescent="0.2">
      <c r="A78" t="s">
        <v>6688</v>
      </c>
    </row>
    <row r="80" spans="1:29" x14ac:dyDescent="0.2">
      <c r="A80" s="609" t="s">
        <v>6359</v>
      </c>
    </row>
    <row r="81" spans="1:1" x14ac:dyDescent="0.2">
      <c r="A81" t="s">
        <v>6689</v>
      </c>
    </row>
    <row r="82" spans="1:1" x14ac:dyDescent="0.2">
      <c r="A82" t="s">
        <v>6690</v>
      </c>
    </row>
    <row r="83" spans="1:1" x14ac:dyDescent="0.2">
      <c r="A83" t="s">
        <v>6691</v>
      </c>
    </row>
    <row r="85" spans="1:1" x14ac:dyDescent="0.2">
      <c r="A85" s="609" t="s">
        <v>6654</v>
      </c>
    </row>
    <row r="86" spans="1:1" x14ac:dyDescent="0.2">
      <c r="A86" t="s">
        <v>6692</v>
      </c>
    </row>
    <row r="87" spans="1:1" x14ac:dyDescent="0.2">
      <c r="A87" t="s">
        <v>6693</v>
      </c>
    </row>
    <row r="88" spans="1:1" x14ac:dyDescent="0.2">
      <c r="A88" t="s">
        <v>6694</v>
      </c>
    </row>
    <row r="90" spans="1:1" x14ac:dyDescent="0.2">
      <c r="A90" s="609" t="s">
        <v>6658</v>
      </c>
    </row>
    <row r="91" spans="1:1" x14ac:dyDescent="0.2">
      <c r="A91" t="s">
        <v>6695</v>
      </c>
    </row>
    <row r="92" spans="1:1" x14ac:dyDescent="0.2">
      <c r="A92" t="s">
        <v>6696</v>
      </c>
    </row>
    <row r="94" spans="1:1" x14ac:dyDescent="0.2">
      <c r="A94" s="609" t="s">
        <v>6661</v>
      </c>
    </row>
    <row r="95" spans="1:1" x14ac:dyDescent="0.2">
      <c r="A95" t="s">
        <v>6697</v>
      </c>
    </row>
    <row r="96" spans="1:1" x14ac:dyDescent="0.2">
      <c r="A96" t="s">
        <v>6698</v>
      </c>
    </row>
    <row r="97" spans="1:1" x14ac:dyDescent="0.2">
      <c r="A97" t="s">
        <v>6699</v>
      </c>
    </row>
    <row r="99" spans="1:1" x14ac:dyDescent="0.2">
      <c r="A99" s="609" t="s">
        <v>6682</v>
      </c>
    </row>
    <row r="100" spans="1:1" x14ac:dyDescent="0.2">
      <c r="A100" t="s">
        <v>6700</v>
      </c>
    </row>
    <row r="103" spans="1:1" ht="18" x14ac:dyDescent="0.25">
      <c r="A103" s="838" t="s">
        <v>7220</v>
      </c>
    </row>
    <row r="104" spans="1:1" x14ac:dyDescent="0.2">
      <c r="A104" s="734" t="s">
        <v>7131</v>
      </c>
    </row>
    <row r="106" spans="1:1" x14ac:dyDescent="0.2">
      <c r="A106" s="839" t="s">
        <v>7132</v>
      </c>
    </row>
    <row r="107" spans="1:1" x14ac:dyDescent="0.2">
      <c r="A107" t="s">
        <v>7221</v>
      </c>
    </row>
    <row r="108" spans="1:1" x14ac:dyDescent="0.2">
      <c r="A108" t="s">
        <v>7222</v>
      </c>
    </row>
    <row r="109" spans="1:1" x14ac:dyDescent="0.2">
      <c r="A109" t="s">
        <v>7223</v>
      </c>
    </row>
    <row r="110" spans="1:1" x14ac:dyDescent="0.2">
      <c r="A110" t="s">
        <v>7224</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689B0-D52B-4DFA-A60D-B2092CC2A257}">
  <dimension ref="A1:V140"/>
  <sheetViews>
    <sheetView workbookViewId="0">
      <pane xSplit="2" ySplit="5" topLeftCell="C6" activePane="bottomRight" state="frozen"/>
      <selection pane="topRight" activeCell="C1" sqref="C1"/>
      <selection pane="bottomLeft" activeCell="A6" sqref="A6"/>
      <selection pane="bottomRight" activeCell="X14" sqref="X14"/>
    </sheetView>
  </sheetViews>
  <sheetFormatPr defaultRowHeight="12.75" x14ac:dyDescent="0.2"/>
  <cols>
    <col min="1" max="1" width="137.140625" customWidth="1"/>
    <col min="2" max="2" width="16.140625" customWidth="1"/>
    <col min="3" max="22" width="6.85546875" style="626" customWidth="1"/>
  </cols>
  <sheetData>
    <row r="1" spans="1:22" ht="18" x14ac:dyDescent="0.25">
      <c r="A1" s="470" t="s">
        <v>1121</v>
      </c>
    </row>
    <row r="2" spans="1:22" x14ac:dyDescent="0.2">
      <c r="A2" s="546" t="s">
        <v>1122</v>
      </c>
    </row>
    <row r="3" spans="1:22" x14ac:dyDescent="0.2">
      <c r="A3" s="472" t="s">
        <v>1123</v>
      </c>
      <c r="C3" s="626" t="s">
        <v>784</v>
      </c>
      <c r="D3" s="626" t="s">
        <v>792</v>
      </c>
      <c r="E3" s="626" t="s">
        <v>800</v>
      </c>
      <c r="F3" s="626" t="s">
        <v>205</v>
      </c>
      <c r="G3" s="626" t="s">
        <v>206</v>
      </c>
      <c r="H3" s="626" t="s">
        <v>207</v>
      </c>
      <c r="I3" s="626" t="s">
        <v>208</v>
      </c>
      <c r="J3" s="626" t="s">
        <v>209</v>
      </c>
      <c r="K3" s="626" t="s">
        <v>6</v>
      </c>
      <c r="L3" s="626" t="s">
        <v>7</v>
      </c>
      <c r="M3" s="626" t="s">
        <v>8</v>
      </c>
      <c r="N3" s="626" t="s">
        <v>9</v>
      </c>
      <c r="O3" s="626" t="s">
        <v>10</v>
      </c>
      <c r="P3" s="626" t="s">
        <v>240</v>
      </c>
      <c r="Q3" s="626" t="s">
        <v>12</v>
      </c>
      <c r="R3" s="626" t="s">
        <v>13</v>
      </c>
      <c r="S3" s="626" t="s">
        <v>14</v>
      </c>
      <c r="T3" s="626" t="s">
        <v>15</v>
      </c>
      <c r="U3" s="626" t="s">
        <v>16</v>
      </c>
      <c r="V3" s="626" t="s">
        <v>17</v>
      </c>
    </row>
    <row r="4" spans="1:22" x14ac:dyDescent="0.2">
      <c r="A4" s="472" t="s">
        <v>1013</v>
      </c>
      <c r="C4" s="626">
        <v>32</v>
      </c>
      <c r="D4" s="626">
        <v>33</v>
      </c>
      <c r="E4" s="626">
        <v>34</v>
      </c>
      <c r="F4" s="626">
        <v>35</v>
      </c>
      <c r="G4" s="626">
        <v>36</v>
      </c>
      <c r="H4" s="626">
        <v>37</v>
      </c>
      <c r="I4" s="626">
        <v>38</v>
      </c>
      <c r="J4" s="626">
        <v>39</v>
      </c>
      <c r="K4" s="626">
        <v>40</v>
      </c>
      <c r="L4" s="626">
        <v>41</v>
      </c>
      <c r="M4" s="626">
        <v>42</v>
      </c>
      <c r="N4" s="626">
        <v>43</v>
      </c>
      <c r="O4" s="626">
        <v>44</v>
      </c>
      <c r="P4" s="626">
        <v>45</v>
      </c>
      <c r="Q4" s="626">
        <v>46</v>
      </c>
      <c r="R4" s="626">
        <v>47</v>
      </c>
      <c r="S4" s="626">
        <v>48</v>
      </c>
      <c r="T4" s="626">
        <v>49</v>
      </c>
      <c r="U4" s="626">
        <v>50</v>
      </c>
      <c r="V4" s="626">
        <v>51</v>
      </c>
    </row>
    <row r="5" spans="1:22" x14ac:dyDescent="0.2">
      <c r="A5" s="472" t="s">
        <v>1124</v>
      </c>
      <c r="B5" s="598" t="s">
        <v>1127</v>
      </c>
      <c r="C5" s="626" t="s">
        <v>1007</v>
      </c>
      <c r="D5" s="626" t="s">
        <v>1006</v>
      </c>
      <c r="E5" s="626" t="s">
        <v>500</v>
      </c>
      <c r="F5" s="626" t="s">
        <v>243</v>
      </c>
      <c r="G5" s="626" t="s">
        <v>5</v>
      </c>
      <c r="H5" s="626" t="s">
        <v>244</v>
      </c>
      <c r="I5" s="626" t="s">
        <v>245</v>
      </c>
      <c r="J5" s="626" t="s">
        <v>24</v>
      </c>
      <c r="K5" s="626" t="s">
        <v>254</v>
      </c>
      <c r="L5" s="626" t="s">
        <v>25</v>
      </c>
      <c r="M5" s="626" t="s">
        <v>11</v>
      </c>
      <c r="N5" s="626" t="s">
        <v>26</v>
      </c>
      <c r="O5" s="626" t="s">
        <v>27</v>
      </c>
      <c r="P5" s="626" t="s">
        <v>28</v>
      </c>
      <c r="Q5" s="626" t="s">
        <v>29</v>
      </c>
      <c r="R5" s="626" t="s">
        <v>30</v>
      </c>
      <c r="S5" s="626" t="s">
        <v>31</v>
      </c>
      <c r="T5" s="626" t="s">
        <v>32</v>
      </c>
      <c r="U5" s="626" t="s">
        <v>33</v>
      </c>
      <c r="V5" s="626" t="s">
        <v>34</v>
      </c>
    </row>
    <row r="6" spans="1:22" x14ac:dyDescent="0.2">
      <c r="A6" s="472" t="s">
        <v>1125</v>
      </c>
      <c r="C6" s="677">
        <f t="shared" ref="C6:V6" si="0">2412/((2^(1/12))^(C4-49)*440)</f>
        <v>14.634698764809652</v>
      </c>
      <c r="D6" s="677">
        <f t="shared" si="0"/>
        <v>13.81331623793834</v>
      </c>
      <c r="E6" s="677">
        <f t="shared" si="0"/>
        <v>13.038034369938925</v>
      </c>
      <c r="F6" s="677">
        <f t="shared" si="0"/>
        <v>12.306265729646402</v>
      </c>
      <c r="G6" s="677">
        <f t="shared" si="0"/>
        <v>11.615568107248274</v>
      </c>
      <c r="H6" s="677">
        <f t="shared" si="0"/>
        <v>10.963636363636363</v>
      </c>
      <c r="I6" s="677">
        <f t="shared" si="0"/>
        <v>10.348294737219296</v>
      </c>
      <c r="J6" s="677">
        <f t="shared" si="0"/>
        <v>9.7674895825204491</v>
      </c>
      <c r="K6" s="677">
        <f t="shared" si="0"/>
        <v>9.2192825163270893</v>
      </c>
      <c r="L6" s="677">
        <f t="shared" si="0"/>
        <v>8.7018439485165846</v>
      </c>
      <c r="M6" s="677">
        <f t="shared" si="0"/>
        <v>8.2134469759694468</v>
      </c>
      <c r="N6" s="677">
        <f t="shared" si="0"/>
        <v>7.7524616191906945</v>
      </c>
      <c r="O6" s="677">
        <f t="shared" si="0"/>
        <v>7.3173493824048252</v>
      </c>
      <c r="P6" s="677">
        <f t="shared" si="0"/>
        <v>6.906658118969168</v>
      </c>
      <c r="Q6" s="677">
        <f t="shared" si="0"/>
        <v>6.5190171849694627</v>
      </c>
      <c r="R6" s="677">
        <f t="shared" si="0"/>
        <v>6.1531328648232</v>
      </c>
      <c r="S6" s="677">
        <f t="shared" si="0"/>
        <v>5.807784053624137</v>
      </c>
      <c r="T6" s="677">
        <f t="shared" si="0"/>
        <v>5.4818181818181815</v>
      </c>
      <c r="U6" s="677">
        <f t="shared" si="0"/>
        <v>5.1741473686096473</v>
      </c>
      <c r="V6" s="677">
        <f t="shared" si="0"/>
        <v>4.8837447912602236</v>
      </c>
    </row>
    <row r="7" spans="1:22" x14ac:dyDescent="0.2">
      <c r="A7" s="472" t="s">
        <v>1126</v>
      </c>
      <c r="C7" s="677">
        <f t="shared" ref="C7:V7" si="1">C6*2.54</f>
        <v>37.172134862616517</v>
      </c>
      <c r="D7" s="677">
        <f t="shared" si="1"/>
        <v>35.085823244363382</v>
      </c>
      <c r="E7" s="677">
        <f t="shared" si="1"/>
        <v>33.116607299644869</v>
      </c>
      <c r="F7" s="677">
        <f t="shared" si="1"/>
        <v>31.25791495330186</v>
      </c>
      <c r="G7" s="677">
        <f t="shared" si="1"/>
        <v>29.503542992410615</v>
      </c>
      <c r="H7" s="677">
        <f t="shared" si="1"/>
        <v>27.847636363636362</v>
      </c>
      <c r="I7" s="677">
        <f t="shared" si="1"/>
        <v>26.284668632537013</v>
      </c>
      <c r="J7" s="677">
        <f t="shared" si="1"/>
        <v>24.809423539601941</v>
      </c>
      <c r="K7" s="677">
        <f t="shared" si="1"/>
        <v>23.416977591470808</v>
      </c>
      <c r="L7" s="677">
        <f t="shared" si="1"/>
        <v>22.102683629232125</v>
      </c>
      <c r="M7" s="677">
        <f t="shared" si="1"/>
        <v>20.862155318962394</v>
      </c>
      <c r="N7" s="677">
        <f t="shared" si="1"/>
        <v>19.691252512744363</v>
      </c>
      <c r="O7" s="677">
        <f t="shared" si="1"/>
        <v>18.586067431308255</v>
      </c>
      <c r="P7" s="677">
        <f t="shared" si="1"/>
        <v>17.542911622181688</v>
      </c>
      <c r="Q7" s="677">
        <f t="shared" si="1"/>
        <v>16.558303649822435</v>
      </c>
      <c r="R7" s="677">
        <f t="shared" si="1"/>
        <v>15.628957476650928</v>
      </c>
      <c r="S7" s="677">
        <f t="shared" si="1"/>
        <v>14.751771496205308</v>
      </c>
      <c r="T7" s="677">
        <f t="shared" si="1"/>
        <v>13.923818181818181</v>
      </c>
      <c r="U7" s="677">
        <f t="shared" si="1"/>
        <v>13.142334316268505</v>
      </c>
      <c r="V7" s="677">
        <f t="shared" si="1"/>
        <v>12.404711769800969</v>
      </c>
    </row>
    <row r="9" spans="1:22" ht="15" x14ac:dyDescent="0.25">
      <c r="A9" s="614" t="s">
        <v>1128</v>
      </c>
    </row>
    <row r="10" spans="1:22" x14ac:dyDescent="0.2">
      <c r="A10" s="472" t="s">
        <v>1024</v>
      </c>
      <c r="C10" s="626">
        <v>0.55100000000000005</v>
      </c>
      <c r="D10" s="626">
        <v>0.55100000000000005</v>
      </c>
      <c r="E10" s="626">
        <v>0.55100000000000005</v>
      </c>
      <c r="F10" s="626">
        <v>0.55100000000000005</v>
      </c>
      <c r="G10" s="626">
        <v>0.55100000000000005</v>
      </c>
      <c r="H10" s="626">
        <v>0.47199999999999998</v>
      </c>
      <c r="I10" s="626">
        <v>0.47199999999999998</v>
      </c>
      <c r="J10" s="626">
        <v>0.47199999999999998</v>
      </c>
      <c r="K10" s="626">
        <v>0.47199999999999998</v>
      </c>
      <c r="L10" s="626">
        <v>0.47199999999999998</v>
      </c>
      <c r="M10" s="626">
        <v>0.39400000000000002</v>
      </c>
      <c r="N10" s="626">
        <v>0.39400000000000002</v>
      </c>
      <c r="O10" s="626">
        <v>0.39400000000000002</v>
      </c>
      <c r="P10" s="626">
        <v>0.39400000000000002</v>
      </c>
      <c r="Q10" s="626">
        <v>0.39400000000000002</v>
      </c>
      <c r="R10" s="626">
        <v>0.315</v>
      </c>
      <c r="S10" s="626">
        <v>0.315</v>
      </c>
      <c r="T10" s="626">
        <v>0.315</v>
      </c>
      <c r="U10" s="626">
        <v>0.315</v>
      </c>
      <c r="V10" s="626">
        <v>0.315</v>
      </c>
    </row>
    <row r="11" spans="1:22" x14ac:dyDescent="0.2">
      <c r="A11" s="472" t="s">
        <v>226</v>
      </c>
      <c r="C11" s="626">
        <v>0.157</v>
      </c>
      <c r="D11" s="626">
        <v>0.157</v>
      </c>
      <c r="E11" s="626">
        <v>0.157</v>
      </c>
      <c r="F11" s="626">
        <v>0.157</v>
      </c>
      <c r="G11" s="626">
        <v>0.157</v>
      </c>
      <c r="H11" s="626">
        <v>0.13800000000000001</v>
      </c>
      <c r="I11" s="626">
        <v>0.13800000000000001</v>
      </c>
      <c r="J11" s="626">
        <v>0.13800000000000001</v>
      </c>
      <c r="K11" s="626">
        <v>0.13800000000000001</v>
      </c>
      <c r="L11" s="626">
        <v>0.13800000000000001</v>
      </c>
      <c r="M11" s="626">
        <v>0.11799999999999999</v>
      </c>
      <c r="N11" s="626">
        <v>0.11799999999999999</v>
      </c>
      <c r="O11" s="626">
        <v>0.11799999999999999</v>
      </c>
      <c r="P11" s="626">
        <v>0.11799999999999999</v>
      </c>
      <c r="Q11" s="626">
        <v>0.11799999999999999</v>
      </c>
      <c r="R11" s="626">
        <v>9.8000000000000004E-2</v>
      </c>
      <c r="S11" s="626">
        <v>9.8000000000000004E-2</v>
      </c>
      <c r="T11" s="626">
        <v>9.8000000000000004E-2</v>
      </c>
      <c r="U11" s="626">
        <v>9.8000000000000004E-2</v>
      </c>
      <c r="V11" s="626">
        <v>9.8000000000000004E-2</v>
      </c>
    </row>
    <row r="12" spans="1:22" x14ac:dyDescent="0.2">
      <c r="A12" s="472" t="s">
        <v>1129</v>
      </c>
      <c r="C12" s="626">
        <f t="shared" ref="C12:V12" si="2">C10+2*C11</f>
        <v>0.86499999999999999</v>
      </c>
      <c r="D12" s="626">
        <f t="shared" si="2"/>
        <v>0.86499999999999999</v>
      </c>
      <c r="E12" s="626">
        <f t="shared" si="2"/>
        <v>0.86499999999999999</v>
      </c>
      <c r="F12" s="626">
        <f t="shared" si="2"/>
        <v>0.86499999999999999</v>
      </c>
      <c r="G12" s="626">
        <f t="shared" si="2"/>
        <v>0.86499999999999999</v>
      </c>
      <c r="H12" s="626">
        <f t="shared" si="2"/>
        <v>0.748</v>
      </c>
      <c r="I12" s="626">
        <f t="shared" si="2"/>
        <v>0.748</v>
      </c>
      <c r="J12" s="626">
        <f t="shared" si="2"/>
        <v>0.748</v>
      </c>
      <c r="K12" s="626">
        <f t="shared" si="2"/>
        <v>0.748</v>
      </c>
      <c r="L12" s="626">
        <f t="shared" si="2"/>
        <v>0.748</v>
      </c>
      <c r="M12" s="626">
        <f t="shared" si="2"/>
        <v>0.63</v>
      </c>
      <c r="N12" s="626">
        <f t="shared" si="2"/>
        <v>0.63</v>
      </c>
      <c r="O12" s="626">
        <f t="shared" si="2"/>
        <v>0.63</v>
      </c>
      <c r="P12" s="626">
        <f t="shared" si="2"/>
        <v>0.63</v>
      </c>
      <c r="Q12" s="626">
        <f t="shared" si="2"/>
        <v>0.63</v>
      </c>
      <c r="R12" s="626">
        <f t="shared" si="2"/>
        <v>0.51100000000000001</v>
      </c>
      <c r="S12" s="626">
        <f t="shared" si="2"/>
        <v>0.51100000000000001</v>
      </c>
      <c r="T12" s="626">
        <f t="shared" si="2"/>
        <v>0.51100000000000001</v>
      </c>
      <c r="U12" s="626">
        <f t="shared" si="2"/>
        <v>0.51100000000000001</v>
      </c>
      <c r="V12" s="626">
        <f t="shared" si="2"/>
        <v>0.51100000000000001</v>
      </c>
    </row>
    <row r="13" spans="1:22" x14ac:dyDescent="0.2">
      <c r="A13" s="472" t="s">
        <v>1130</v>
      </c>
      <c r="C13" s="626">
        <v>4.7</v>
      </c>
      <c r="D13" s="626">
        <v>4.7</v>
      </c>
      <c r="E13" s="626">
        <v>4.7</v>
      </c>
      <c r="F13" s="626">
        <v>4.7</v>
      </c>
      <c r="G13" s="626">
        <v>4.7</v>
      </c>
      <c r="H13" s="626">
        <v>3.9</v>
      </c>
      <c r="I13" s="626">
        <v>3.9</v>
      </c>
      <c r="J13" s="626">
        <v>3.9</v>
      </c>
      <c r="K13" s="626">
        <v>3.9</v>
      </c>
      <c r="L13" s="626">
        <v>3.9</v>
      </c>
      <c r="M13" s="626">
        <v>3.5</v>
      </c>
      <c r="N13" s="626">
        <v>3.5</v>
      </c>
      <c r="O13" s="626">
        <v>3.5</v>
      </c>
      <c r="P13" s="626">
        <v>3.5</v>
      </c>
      <c r="Q13" s="626">
        <v>3.5</v>
      </c>
      <c r="R13" s="626">
        <v>3.5</v>
      </c>
      <c r="S13" s="626">
        <v>3.5</v>
      </c>
      <c r="T13" s="626">
        <v>3.5</v>
      </c>
      <c r="U13" s="626">
        <v>3.5</v>
      </c>
      <c r="V13" s="626">
        <v>3.5</v>
      </c>
    </row>
    <row r="14" spans="1:22" x14ac:dyDescent="0.2">
      <c r="A14" s="472" t="s">
        <v>1131</v>
      </c>
      <c r="C14" s="626">
        <v>0.75</v>
      </c>
      <c r="D14" s="626">
        <v>0.75</v>
      </c>
      <c r="E14" s="626">
        <v>0.75</v>
      </c>
      <c r="F14" s="626">
        <v>0.75</v>
      </c>
      <c r="G14" s="626">
        <v>0.75</v>
      </c>
      <c r="H14" s="626">
        <v>0.63</v>
      </c>
      <c r="I14" s="626">
        <v>0.63</v>
      </c>
      <c r="J14" s="626">
        <v>0.63</v>
      </c>
      <c r="K14" s="626">
        <v>0.63</v>
      </c>
      <c r="L14" s="626">
        <v>0.63</v>
      </c>
      <c r="M14" s="626">
        <v>0.5</v>
      </c>
      <c r="N14" s="626">
        <v>0.5</v>
      </c>
      <c r="O14" s="626">
        <v>0.5</v>
      </c>
      <c r="P14" s="626">
        <v>0.5</v>
      </c>
      <c r="Q14" s="626">
        <v>0.5</v>
      </c>
      <c r="R14" s="626">
        <v>0.5</v>
      </c>
      <c r="S14" s="626">
        <v>0.5</v>
      </c>
      <c r="T14" s="626">
        <v>0.5</v>
      </c>
      <c r="U14" s="626">
        <v>0.5</v>
      </c>
      <c r="V14" s="626">
        <v>0.5</v>
      </c>
    </row>
    <row r="15" spans="1:22" s="672" customFormat="1" x14ac:dyDescent="0.2">
      <c r="A15" s="676" t="s">
        <v>334</v>
      </c>
      <c r="C15" s="674" t="s">
        <v>1142</v>
      </c>
      <c r="D15" s="674" t="s">
        <v>1142</v>
      </c>
      <c r="E15" s="674" t="s">
        <v>1142</v>
      </c>
      <c r="F15" s="674" t="s">
        <v>1142</v>
      </c>
      <c r="G15" s="674" t="s">
        <v>1142</v>
      </c>
      <c r="H15" s="674" t="s">
        <v>1142</v>
      </c>
      <c r="I15" s="674" t="s">
        <v>1142</v>
      </c>
      <c r="J15" s="674" t="s">
        <v>1142</v>
      </c>
      <c r="K15" s="674" t="s">
        <v>1142</v>
      </c>
      <c r="L15" s="674" t="s">
        <v>1142</v>
      </c>
      <c r="M15" s="674" t="s">
        <v>1142</v>
      </c>
      <c r="N15" s="674" t="s">
        <v>1142</v>
      </c>
      <c r="O15" s="674" t="s">
        <v>1142</v>
      </c>
      <c r="P15" s="674" t="s">
        <v>1142</v>
      </c>
      <c r="Q15" s="674" t="s">
        <v>1142</v>
      </c>
      <c r="R15" s="674" t="s">
        <v>1142</v>
      </c>
      <c r="S15" s="674" t="s">
        <v>1142</v>
      </c>
      <c r="T15" s="674" t="s">
        <v>1142</v>
      </c>
      <c r="U15" s="674" t="s">
        <v>1142</v>
      </c>
      <c r="V15" s="674" t="s">
        <v>1142</v>
      </c>
    </row>
    <row r="17" spans="1:22" ht="15" x14ac:dyDescent="0.25">
      <c r="A17" s="615" t="s">
        <v>1132</v>
      </c>
    </row>
    <row r="18" spans="1:22" x14ac:dyDescent="0.2">
      <c r="A18" s="472" t="s">
        <v>1024</v>
      </c>
      <c r="C18" s="626">
        <v>0.63</v>
      </c>
      <c r="D18" s="626">
        <v>0.63</v>
      </c>
      <c r="E18" s="626">
        <v>0.63</v>
      </c>
      <c r="F18" s="626">
        <v>0.63</v>
      </c>
      <c r="G18" s="626">
        <v>0.63</v>
      </c>
      <c r="H18" s="626">
        <v>0.55100000000000005</v>
      </c>
      <c r="I18" s="626">
        <v>0.55100000000000005</v>
      </c>
      <c r="J18" s="626">
        <v>0.55100000000000005</v>
      </c>
      <c r="K18" s="626">
        <v>0.55100000000000005</v>
      </c>
      <c r="L18" s="626">
        <v>0.55100000000000005</v>
      </c>
      <c r="M18" s="626">
        <v>0.47199999999999998</v>
      </c>
      <c r="N18" s="626">
        <v>0.47199999999999998</v>
      </c>
      <c r="O18" s="626">
        <v>0.47199999999999998</v>
      </c>
      <c r="P18" s="626">
        <v>0.47199999999999998</v>
      </c>
      <c r="Q18" s="626">
        <v>0.47199999999999998</v>
      </c>
      <c r="R18" s="626">
        <v>0.39400000000000002</v>
      </c>
      <c r="S18" s="626">
        <v>0.39400000000000002</v>
      </c>
      <c r="T18" s="626">
        <v>0.39400000000000002</v>
      </c>
      <c r="U18" s="626">
        <v>0.39400000000000002</v>
      </c>
      <c r="V18" s="626">
        <v>0.39400000000000002</v>
      </c>
    </row>
    <row r="19" spans="1:22" x14ac:dyDescent="0.2">
      <c r="A19" s="472" t="s">
        <v>226</v>
      </c>
      <c r="C19" s="626">
        <v>0.17699999999999999</v>
      </c>
      <c r="D19" s="626">
        <v>0.17699999999999999</v>
      </c>
      <c r="E19" s="626">
        <v>0.17699999999999999</v>
      </c>
      <c r="F19" s="626">
        <v>0.17699999999999999</v>
      </c>
      <c r="G19" s="626">
        <v>0.17699999999999999</v>
      </c>
      <c r="H19" s="626">
        <v>0.157</v>
      </c>
      <c r="I19" s="626">
        <v>0.157</v>
      </c>
      <c r="J19" s="626">
        <v>0.157</v>
      </c>
      <c r="K19" s="626">
        <v>0.157</v>
      </c>
      <c r="L19" s="626">
        <v>0.157</v>
      </c>
      <c r="M19" s="626">
        <v>0.13800000000000001</v>
      </c>
      <c r="N19" s="626">
        <v>0.13800000000000001</v>
      </c>
      <c r="O19" s="626">
        <v>0.13800000000000001</v>
      </c>
      <c r="P19" s="626">
        <v>0.13800000000000001</v>
      </c>
      <c r="Q19" s="626">
        <v>0.13800000000000001</v>
      </c>
      <c r="R19" s="626">
        <v>0.11799999999999999</v>
      </c>
      <c r="S19" s="626">
        <v>0.11799999999999999</v>
      </c>
      <c r="T19" s="626">
        <v>0.11799999999999999</v>
      </c>
      <c r="U19" s="626">
        <v>0.11799999999999999</v>
      </c>
      <c r="V19" s="626">
        <v>0.11799999999999999</v>
      </c>
    </row>
    <row r="20" spans="1:22" x14ac:dyDescent="0.2">
      <c r="A20" s="472" t="s">
        <v>1129</v>
      </c>
      <c r="C20" s="626">
        <f t="shared" ref="C20:V20" si="3">C18+2*C19</f>
        <v>0.98399999999999999</v>
      </c>
      <c r="D20" s="626">
        <f t="shared" si="3"/>
        <v>0.98399999999999999</v>
      </c>
      <c r="E20" s="626">
        <f t="shared" si="3"/>
        <v>0.98399999999999999</v>
      </c>
      <c r="F20" s="626">
        <f t="shared" si="3"/>
        <v>0.98399999999999999</v>
      </c>
      <c r="G20" s="626">
        <f t="shared" si="3"/>
        <v>0.98399999999999999</v>
      </c>
      <c r="H20" s="626">
        <f t="shared" si="3"/>
        <v>0.86499999999999999</v>
      </c>
      <c r="I20" s="626">
        <f t="shared" si="3"/>
        <v>0.86499999999999999</v>
      </c>
      <c r="J20" s="626">
        <f t="shared" si="3"/>
        <v>0.86499999999999999</v>
      </c>
      <c r="K20" s="626">
        <f t="shared" si="3"/>
        <v>0.86499999999999999</v>
      </c>
      <c r="L20" s="626">
        <f t="shared" si="3"/>
        <v>0.86499999999999999</v>
      </c>
      <c r="M20" s="626">
        <f t="shared" si="3"/>
        <v>0.748</v>
      </c>
      <c r="N20" s="626">
        <f t="shared" si="3"/>
        <v>0.748</v>
      </c>
      <c r="O20" s="626">
        <f t="shared" si="3"/>
        <v>0.748</v>
      </c>
      <c r="P20" s="626">
        <f t="shared" si="3"/>
        <v>0.748</v>
      </c>
      <c r="Q20" s="626">
        <f t="shared" si="3"/>
        <v>0.748</v>
      </c>
      <c r="R20" s="626">
        <f t="shared" si="3"/>
        <v>0.63</v>
      </c>
      <c r="S20" s="626">
        <f t="shared" si="3"/>
        <v>0.63</v>
      </c>
      <c r="T20" s="626">
        <f t="shared" si="3"/>
        <v>0.63</v>
      </c>
      <c r="U20" s="626">
        <f t="shared" si="3"/>
        <v>0.63</v>
      </c>
      <c r="V20" s="626">
        <f t="shared" si="3"/>
        <v>0.63</v>
      </c>
    </row>
    <row r="21" spans="1:22" x14ac:dyDescent="0.2">
      <c r="A21" s="472" t="s">
        <v>1130</v>
      </c>
      <c r="C21" s="626">
        <v>3.9</v>
      </c>
      <c r="D21" s="626">
        <v>3.9</v>
      </c>
      <c r="E21" s="626">
        <v>3.9</v>
      </c>
      <c r="F21" s="626">
        <v>3.9</v>
      </c>
      <c r="G21" s="626">
        <v>3.9</v>
      </c>
      <c r="H21" s="626">
        <v>3.5</v>
      </c>
      <c r="I21" s="626">
        <v>3.5</v>
      </c>
      <c r="J21" s="626">
        <v>3.5</v>
      </c>
      <c r="K21" s="626">
        <v>3.5</v>
      </c>
      <c r="L21" s="626">
        <v>3.5</v>
      </c>
      <c r="M21" s="626">
        <v>3.1</v>
      </c>
      <c r="N21" s="626">
        <v>3.1</v>
      </c>
      <c r="O21" s="626">
        <v>3.1</v>
      </c>
      <c r="P21" s="626">
        <v>3.1</v>
      </c>
      <c r="Q21" s="626">
        <v>3.1</v>
      </c>
      <c r="R21" s="626">
        <v>3.1</v>
      </c>
      <c r="S21" s="626">
        <v>3.1</v>
      </c>
      <c r="T21" s="626">
        <v>3.1</v>
      </c>
      <c r="U21" s="626">
        <v>3.1</v>
      </c>
      <c r="V21" s="626">
        <v>3.1</v>
      </c>
    </row>
    <row r="22" spans="1:22" x14ac:dyDescent="0.2">
      <c r="A22" s="472" t="s">
        <v>1131</v>
      </c>
      <c r="C22" s="626">
        <v>0.67</v>
      </c>
      <c r="D22" s="626">
        <v>0.67</v>
      </c>
      <c r="E22" s="626">
        <v>0.67</v>
      </c>
      <c r="F22" s="626">
        <v>0.67</v>
      </c>
      <c r="G22" s="626">
        <v>0.67</v>
      </c>
      <c r="H22" s="626">
        <v>0.55000000000000004</v>
      </c>
      <c r="I22" s="626">
        <v>0.55000000000000004</v>
      </c>
      <c r="J22" s="626">
        <v>0.55000000000000004</v>
      </c>
      <c r="K22" s="626">
        <v>0.55000000000000004</v>
      </c>
      <c r="L22" s="626">
        <v>0.55000000000000004</v>
      </c>
      <c r="M22" s="626">
        <v>0.47</v>
      </c>
      <c r="N22" s="626">
        <v>0.47</v>
      </c>
      <c r="O22" s="626">
        <v>0.47</v>
      </c>
      <c r="P22" s="626">
        <v>0.47</v>
      </c>
      <c r="Q22" s="626">
        <v>0.47</v>
      </c>
      <c r="R22" s="626">
        <v>0.47</v>
      </c>
      <c r="S22" s="626">
        <v>0.47</v>
      </c>
      <c r="T22" s="626">
        <v>0.47</v>
      </c>
      <c r="U22" s="626">
        <v>0.47</v>
      </c>
      <c r="V22" s="626">
        <v>0.47</v>
      </c>
    </row>
    <row r="23" spans="1:22" s="672" customFormat="1" ht="25.5" x14ac:dyDescent="0.2">
      <c r="A23" s="676" t="s">
        <v>334</v>
      </c>
      <c r="C23" s="674" t="s">
        <v>1143</v>
      </c>
      <c r="D23" s="674" t="s">
        <v>1143</v>
      </c>
      <c r="E23" s="674" t="s">
        <v>1143</v>
      </c>
      <c r="F23" s="674" t="s">
        <v>1143</v>
      </c>
      <c r="G23" s="674" t="s">
        <v>1143</v>
      </c>
      <c r="H23" s="674" t="s">
        <v>1143</v>
      </c>
      <c r="I23" s="674" t="s">
        <v>1143</v>
      </c>
      <c r="J23" s="674" t="s">
        <v>1143</v>
      </c>
      <c r="K23" s="674" t="s">
        <v>1143</v>
      </c>
      <c r="L23" s="674" t="s">
        <v>1143</v>
      </c>
      <c r="M23" s="674" t="s">
        <v>1143</v>
      </c>
      <c r="N23" s="674" t="s">
        <v>1143</v>
      </c>
      <c r="O23" s="674" t="s">
        <v>1143</v>
      </c>
      <c r="P23" s="674" t="s">
        <v>1143</v>
      </c>
      <c r="Q23" s="674" t="s">
        <v>1143</v>
      </c>
      <c r="R23" s="674" t="s">
        <v>1143</v>
      </c>
      <c r="S23" s="674" t="s">
        <v>1143</v>
      </c>
      <c r="T23" s="674" t="s">
        <v>1143</v>
      </c>
      <c r="U23" s="674" t="s">
        <v>1143</v>
      </c>
      <c r="V23" s="674" t="s">
        <v>1143</v>
      </c>
    </row>
    <row r="25" spans="1:22" ht="15" x14ac:dyDescent="0.25">
      <c r="A25" s="616" t="s">
        <v>1133</v>
      </c>
    </row>
    <row r="26" spans="1:22" x14ac:dyDescent="0.2">
      <c r="A26" s="472" t="s">
        <v>1024</v>
      </c>
      <c r="C26" s="626">
        <v>0.55100000000000005</v>
      </c>
      <c r="D26" s="626">
        <v>0.55100000000000005</v>
      </c>
      <c r="E26" s="626">
        <v>0.55100000000000005</v>
      </c>
      <c r="F26" s="626">
        <v>0.55100000000000005</v>
      </c>
      <c r="G26" s="626">
        <v>0.55100000000000005</v>
      </c>
      <c r="H26" s="626">
        <v>0.47199999999999998</v>
      </c>
      <c r="I26" s="626">
        <v>0.47199999999999998</v>
      </c>
      <c r="J26" s="626">
        <v>0.47199999999999998</v>
      </c>
      <c r="K26" s="626">
        <v>0.47199999999999998</v>
      </c>
      <c r="L26" s="626">
        <v>0.47199999999999998</v>
      </c>
      <c r="M26" s="626">
        <v>0.39400000000000002</v>
      </c>
      <c r="N26" s="626">
        <v>0.39400000000000002</v>
      </c>
      <c r="O26" s="626">
        <v>0.39400000000000002</v>
      </c>
      <c r="P26" s="626">
        <v>0.39400000000000002</v>
      </c>
      <c r="Q26" s="626">
        <v>0.39400000000000002</v>
      </c>
      <c r="R26" s="626">
        <v>0.315</v>
      </c>
      <c r="S26" s="626">
        <v>0.315</v>
      </c>
      <c r="T26" s="626">
        <v>0.315</v>
      </c>
      <c r="U26" s="626">
        <v>0.315</v>
      </c>
      <c r="V26" s="626">
        <v>0.315</v>
      </c>
    </row>
    <row r="27" spans="1:22" x14ac:dyDescent="0.2">
      <c r="A27" s="472" t="s">
        <v>226</v>
      </c>
      <c r="C27" s="626">
        <v>0.157</v>
      </c>
      <c r="D27" s="626">
        <v>0.157</v>
      </c>
      <c r="E27" s="626">
        <v>0.157</v>
      </c>
      <c r="F27" s="626">
        <v>0.157</v>
      </c>
      <c r="G27" s="626">
        <v>0.157</v>
      </c>
      <c r="H27" s="626">
        <v>0.13800000000000001</v>
      </c>
      <c r="I27" s="626">
        <v>0.13800000000000001</v>
      </c>
      <c r="J27" s="626">
        <v>0.13800000000000001</v>
      </c>
      <c r="K27" s="626">
        <v>0.13800000000000001</v>
      </c>
      <c r="L27" s="626">
        <v>0.13800000000000001</v>
      </c>
      <c r="M27" s="626">
        <v>0.11799999999999999</v>
      </c>
      <c r="N27" s="626">
        <v>0.11799999999999999</v>
      </c>
      <c r="O27" s="626">
        <v>0.11799999999999999</v>
      </c>
      <c r="P27" s="626">
        <v>0.11799999999999999</v>
      </c>
      <c r="Q27" s="626">
        <v>0.11799999999999999</v>
      </c>
      <c r="R27" s="626">
        <v>9.8000000000000004E-2</v>
      </c>
      <c r="S27" s="626">
        <v>9.8000000000000004E-2</v>
      </c>
      <c r="T27" s="626">
        <v>9.8000000000000004E-2</v>
      </c>
      <c r="U27" s="626">
        <v>9.8000000000000004E-2</v>
      </c>
      <c r="V27" s="626">
        <v>9.8000000000000004E-2</v>
      </c>
    </row>
    <row r="28" spans="1:22" x14ac:dyDescent="0.2">
      <c r="A28" s="472" t="s">
        <v>1129</v>
      </c>
      <c r="C28" s="626">
        <f t="shared" ref="C28:V28" si="4">C26+2*C27</f>
        <v>0.86499999999999999</v>
      </c>
      <c r="D28" s="626">
        <f t="shared" si="4"/>
        <v>0.86499999999999999</v>
      </c>
      <c r="E28" s="626">
        <f t="shared" si="4"/>
        <v>0.86499999999999999</v>
      </c>
      <c r="F28" s="626">
        <f t="shared" si="4"/>
        <v>0.86499999999999999</v>
      </c>
      <c r="G28" s="626">
        <f t="shared" si="4"/>
        <v>0.86499999999999999</v>
      </c>
      <c r="H28" s="626">
        <f t="shared" si="4"/>
        <v>0.748</v>
      </c>
      <c r="I28" s="626">
        <f t="shared" si="4"/>
        <v>0.748</v>
      </c>
      <c r="J28" s="626">
        <f t="shared" si="4"/>
        <v>0.748</v>
      </c>
      <c r="K28" s="626">
        <f t="shared" si="4"/>
        <v>0.748</v>
      </c>
      <c r="L28" s="626">
        <f t="shared" si="4"/>
        <v>0.748</v>
      </c>
      <c r="M28" s="626">
        <f t="shared" si="4"/>
        <v>0.63</v>
      </c>
      <c r="N28" s="626">
        <f t="shared" si="4"/>
        <v>0.63</v>
      </c>
      <c r="O28" s="626">
        <f t="shared" si="4"/>
        <v>0.63</v>
      </c>
      <c r="P28" s="626">
        <f t="shared" si="4"/>
        <v>0.63</v>
      </c>
      <c r="Q28" s="626">
        <f t="shared" si="4"/>
        <v>0.63</v>
      </c>
      <c r="R28" s="626">
        <f t="shared" si="4"/>
        <v>0.51100000000000001</v>
      </c>
      <c r="S28" s="626">
        <f t="shared" si="4"/>
        <v>0.51100000000000001</v>
      </c>
      <c r="T28" s="626">
        <f t="shared" si="4"/>
        <v>0.51100000000000001</v>
      </c>
      <c r="U28" s="626">
        <f t="shared" si="4"/>
        <v>0.51100000000000001</v>
      </c>
      <c r="V28" s="626">
        <f t="shared" si="4"/>
        <v>0.51100000000000001</v>
      </c>
    </row>
    <row r="29" spans="1:22" x14ac:dyDescent="0.2">
      <c r="A29" s="472" t="s">
        <v>1130</v>
      </c>
      <c r="C29" s="626">
        <v>4.3</v>
      </c>
      <c r="D29" s="626">
        <v>4.3</v>
      </c>
      <c r="E29" s="626">
        <v>4.3</v>
      </c>
      <c r="F29" s="626">
        <v>4.3</v>
      </c>
      <c r="G29" s="626">
        <v>4.3</v>
      </c>
      <c r="H29" s="626">
        <v>3.5</v>
      </c>
      <c r="I29" s="626">
        <v>3.5</v>
      </c>
      <c r="J29" s="626">
        <v>3.5</v>
      </c>
      <c r="K29" s="626">
        <v>3.5</v>
      </c>
      <c r="L29" s="626">
        <v>3.5</v>
      </c>
      <c r="M29" s="626">
        <v>3.1</v>
      </c>
      <c r="N29" s="626">
        <v>3.1</v>
      </c>
      <c r="O29" s="626">
        <v>3.1</v>
      </c>
      <c r="P29" s="626">
        <v>3.1</v>
      </c>
      <c r="Q29" s="626">
        <v>3.1</v>
      </c>
      <c r="R29" s="626">
        <v>3.1</v>
      </c>
      <c r="S29" s="626">
        <v>3.1</v>
      </c>
      <c r="T29" s="626">
        <v>3.1</v>
      </c>
      <c r="U29" s="626">
        <v>3.1</v>
      </c>
      <c r="V29" s="626">
        <v>3.1</v>
      </c>
    </row>
    <row r="30" spans="1:22" x14ac:dyDescent="0.2">
      <c r="A30" s="472" t="s">
        <v>1131</v>
      </c>
      <c r="C30" s="626">
        <v>0.71</v>
      </c>
      <c r="D30" s="626">
        <v>0.71</v>
      </c>
      <c r="E30" s="626">
        <v>0.71</v>
      </c>
      <c r="F30" s="626">
        <v>0.71</v>
      </c>
      <c r="G30" s="626">
        <v>0.71</v>
      </c>
      <c r="H30" s="626">
        <v>0.59</v>
      </c>
      <c r="I30" s="626">
        <v>0.59</v>
      </c>
      <c r="J30" s="626">
        <v>0.59</v>
      </c>
      <c r="K30" s="626">
        <v>0.59</v>
      </c>
      <c r="L30" s="626">
        <v>0.59</v>
      </c>
      <c r="M30" s="626">
        <v>0.47</v>
      </c>
      <c r="N30" s="626">
        <v>0.47</v>
      </c>
      <c r="O30" s="626">
        <v>0.47</v>
      </c>
      <c r="P30" s="626">
        <v>0.47</v>
      </c>
      <c r="Q30" s="626">
        <v>0.47</v>
      </c>
      <c r="R30" s="626">
        <v>0.47</v>
      </c>
      <c r="S30" s="626">
        <v>0.47</v>
      </c>
      <c r="T30" s="626">
        <v>0.47</v>
      </c>
      <c r="U30" s="626">
        <v>0.47</v>
      </c>
      <c r="V30" s="626">
        <v>0.47</v>
      </c>
    </row>
    <row r="31" spans="1:22" s="672" customFormat="1" ht="25.5" x14ac:dyDescent="0.2">
      <c r="A31" s="676" t="s">
        <v>334</v>
      </c>
      <c r="C31" s="674" t="s">
        <v>1144</v>
      </c>
      <c r="D31" s="674" t="s">
        <v>1144</v>
      </c>
      <c r="E31" s="674" t="s">
        <v>1144</v>
      </c>
      <c r="F31" s="674" t="s">
        <v>1144</v>
      </c>
      <c r="G31" s="674" t="s">
        <v>1144</v>
      </c>
      <c r="H31" s="674" t="s">
        <v>1144</v>
      </c>
      <c r="I31" s="674" t="s">
        <v>1144</v>
      </c>
      <c r="J31" s="674" t="s">
        <v>1144</v>
      </c>
      <c r="K31" s="674" t="s">
        <v>1144</v>
      </c>
      <c r="L31" s="674" t="s">
        <v>1144</v>
      </c>
      <c r="M31" s="674" t="s">
        <v>1144</v>
      </c>
      <c r="N31" s="674" t="s">
        <v>1144</v>
      </c>
      <c r="O31" s="674" t="s">
        <v>1144</v>
      </c>
      <c r="P31" s="674" t="s">
        <v>1144</v>
      </c>
      <c r="Q31" s="674" t="s">
        <v>1144</v>
      </c>
      <c r="R31" s="674" t="s">
        <v>1144</v>
      </c>
      <c r="S31" s="674" t="s">
        <v>1144</v>
      </c>
      <c r="T31" s="674" t="s">
        <v>1144</v>
      </c>
      <c r="U31" s="674" t="s">
        <v>1144</v>
      </c>
      <c r="V31" s="674" t="s">
        <v>1144</v>
      </c>
    </row>
    <row r="33" spans="1:22" ht="15" x14ac:dyDescent="0.25">
      <c r="A33" s="617" t="s">
        <v>1134</v>
      </c>
    </row>
    <row r="34" spans="1:22" x14ac:dyDescent="0.2">
      <c r="A34" s="472" t="s">
        <v>1024</v>
      </c>
      <c r="C34" s="626">
        <v>0.47199999999999998</v>
      </c>
      <c r="D34" s="626">
        <v>0.47199999999999998</v>
      </c>
      <c r="E34" s="626">
        <v>0.47199999999999998</v>
      </c>
      <c r="F34" s="626">
        <v>0.47199999999999998</v>
      </c>
      <c r="G34" s="626">
        <v>0.47199999999999998</v>
      </c>
      <c r="H34" s="626">
        <v>0.39400000000000002</v>
      </c>
      <c r="I34" s="626">
        <v>0.39400000000000002</v>
      </c>
      <c r="J34" s="626">
        <v>0.39400000000000002</v>
      </c>
      <c r="K34" s="626">
        <v>0.39400000000000002</v>
      </c>
      <c r="L34" s="626">
        <v>0.39400000000000002</v>
      </c>
      <c r="M34" s="626">
        <v>0.35399999999999998</v>
      </c>
      <c r="N34" s="626">
        <v>0.35399999999999998</v>
      </c>
      <c r="O34" s="626">
        <v>0.35399999999999998</v>
      </c>
      <c r="P34" s="626">
        <v>0.35399999999999998</v>
      </c>
      <c r="Q34" s="626">
        <v>0.35399999999999998</v>
      </c>
      <c r="R34" s="626">
        <v>0.315</v>
      </c>
      <c r="S34" s="626">
        <v>0.315</v>
      </c>
      <c r="T34" s="626">
        <v>0.315</v>
      </c>
      <c r="U34" s="626">
        <v>0.315</v>
      </c>
      <c r="V34" s="626">
        <v>0.315</v>
      </c>
    </row>
    <row r="35" spans="1:22" x14ac:dyDescent="0.2">
      <c r="A35" s="472" t="s">
        <v>226</v>
      </c>
      <c r="C35" s="626">
        <v>0.13800000000000001</v>
      </c>
      <c r="D35" s="626">
        <v>0.13800000000000001</v>
      </c>
      <c r="E35" s="626">
        <v>0.13800000000000001</v>
      </c>
      <c r="F35" s="626">
        <v>0.13800000000000001</v>
      </c>
      <c r="G35" s="626">
        <v>0.13800000000000001</v>
      </c>
      <c r="H35" s="626">
        <v>0.11799999999999999</v>
      </c>
      <c r="I35" s="626">
        <v>0.11799999999999999</v>
      </c>
      <c r="J35" s="626">
        <v>0.11799999999999999</v>
      </c>
      <c r="K35" s="626">
        <v>0.11799999999999999</v>
      </c>
      <c r="L35" s="626">
        <v>0.11799999999999999</v>
      </c>
      <c r="M35" s="626">
        <v>9.8000000000000004E-2</v>
      </c>
      <c r="N35" s="626">
        <v>9.8000000000000004E-2</v>
      </c>
      <c r="O35" s="626">
        <v>9.8000000000000004E-2</v>
      </c>
      <c r="P35" s="626">
        <v>9.8000000000000004E-2</v>
      </c>
      <c r="Q35" s="626">
        <v>9.8000000000000004E-2</v>
      </c>
      <c r="R35" s="626">
        <v>7.9000000000000001E-2</v>
      </c>
      <c r="S35" s="626">
        <v>7.9000000000000001E-2</v>
      </c>
      <c r="T35" s="626">
        <v>7.9000000000000001E-2</v>
      </c>
      <c r="U35" s="626">
        <v>7.9000000000000001E-2</v>
      </c>
      <c r="V35" s="626">
        <v>7.9000000000000001E-2</v>
      </c>
    </row>
    <row r="36" spans="1:22" x14ac:dyDescent="0.2">
      <c r="A36" s="472" t="s">
        <v>1129</v>
      </c>
      <c r="C36" s="626">
        <f t="shared" ref="C36:V36" si="5">C34+2*C35</f>
        <v>0.748</v>
      </c>
      <c r="D36" s="626">
        <f t="shared" si="5"/>
        <v>0.748</v>
      </c>
      <c r="E36" s="626">
        <f t="shared" si="5"/>
        <v>0.748</v>
      </c>
      <c r="F36" s="626">
        <f t="shared" si="5"/>
        <v>0.748</v>
      </c>
      <c r="G36" s="626">
        <f t="shared" si="5"/>
        <v>0.748</v>
      </c>
      <c r="H36" s="626">
        <f t="shared" si="5"/>
        <v>0.63</v>
      </c>
      <c r="I36" s="626">
        <f t="shared" si="5"/>
        <v>0.63</v>
      </c>
      <c r="J36" s="626">
        <f t="shared" si="5"/>
        <v>0.63</v>
      </c>
      <c r="K36" s="626">
        <f t="shared" si="5"/>
        <v>0.63</v>
      </c>
      <c r="L36" s="626">
        <f t="shared" si="5"/>
        <v>0.63</v>
      </c>
      <c r="M36" s="626">
        <f t="shared" si="5"/>
        <v>0.55000000000000004</v>
      </c>
      <c r="N36" s="626">
        <f t="shared" si="5"/>
        <v>0.55000000000000004</v>
      </c>
      <c r="O36" s="626">
        <f t="shared" si="5"/>
        <v>0.55000000000000004</v>
      </c>
      <c r="P36" s="626">
        <f t="shared" si="5"/>
        <v>0.55000000000000004</v>
      </c>
      <c r="Q36" s="626">
        <f t="shared" si="5"/>
        <v>0.55000000000000004</v>
      </c>
      <c r="R36" s="626">
        <f t="shared" si="5"/>
        <v>0.47299999999999998</v>
      </c>
      <c r="S36" s="626">
        <f t="shared" si="5"/>
        <v>0.47299999999999998</v>
      </c>
      <c r="T36" s="626">
        <f t="shared" si="5"/>
        <v>0.47299999999999998</v>
      </c>
      <c r="U36" s="626">
        <f t="shared" si="5"/>
        <v>0.47299999999999998</v>
      </c>
      <c r="V36" s="626">
        <f t="shared" si="5"/>
        <v>0.47299999999999998</v>
      </c>
    </row>
    <row r="37" spans="1:22" x14ac:dyDescent="0.2">
      <c r="A37" s="472" t="s">
        <v>1130</v>
      </c>
      <c r="C37" s="626">
        <v>4.3</v>
      </c>
      <c r="D37" s="626">
        <v>4.3</v>
      </c>
      <c r="E37" s="626">
        <v>4.3</v>
      </c>
      <c r="F37" s="626">
        <v>4.3</v>
      </c>
      <c r="G37" s="626">
        <v>4.3</v>
      </c>
      <c r="H37" s="626">
        <v>3.5</v>
      </c>
      <c r="I37" s="626">
        <v>3.5</v>
      </c>
      <c r="J37" s="626">
        <v>3.5</v>
      </c>
      <c r="K37" s="626">
        <v>3.5</v>
      </c>
      <c r="L37" s="626">
        <v>3.5</v>
      </c>
      <c r="M37" s="626">
        <v>3.1</v>
      </c>
      <c r="N37" s="626">
        <v>3.1</v>
      </c>
      <c r="O37" s="626">
        <v>3.1</v>
      </c>
      <c r="P37" s="626">
        <v>3.1</v>
      </c>
      <c r="Q37" s="626">
        <v>3.1</v>
      </c>
      <c r="R37" s="626">
        <v>3.1</v>
      </c>
      <c r="S37" s="626">
        <v>3.1</v>
      </c>
      <c r="T37" s="626">
        <v>3.1</v>
      </c>
      <c r="U37" s="626">
        <v>3.1</v>
      </c>
      <c r="V37" s="626">
        <v>3.1</v>
      </c>
    </row>
    <row r="38" spans="1:22" x14ac:dyDescent="0.2">
      <c r="A38" s="472" t="s">
        <v>1131</v>
      </c>
      <c r="C38" s="626">
        <v>0.67</v>
      </c>
      <c r="D38" s="626">
        <v>0.67</v>
      </c>
      <c r="E38" s="626">
        <v>0.67</v>
      </c>
      <c r="F38" s="626">
        <v>0.67</v>
      </c>
      <c r="G38" s="626">
        <v>0.67</v>
      </c>
      <c r="H38" s="626">
        <v>0.55000000000000004</v>
      </c>
      <c r="I38" s="626">
        <v>0.55000000000000004</v>
      </c>
      <c r="J38" s="626">
        <v>0.55000000000000004</v>
      </c>
      <c r="K38" s="626">
        <v>0.55000000000000004</v>
      </c>
      <c r="L38" s="626">
        <v>0.55000000000000004</v>
      </c>
      <c r="M38" s="626">
        <v>0.47</v>
      </c>
      <c r="N38" s="626">
        <v>0.47</v>
      </c>
      <c r="O38" s="626">
        <v>0.47</v>
      </c>
      <c r="P38" s="626">
        <v>0.47</v>
      </c>
      <c r="Q38" s="626">
        <v>0.47</v>
      </c>
      <c r="R38" s="626">
        <v>0.47</v>
      </c>
      <c r="S38" s="626">
        <v>0.47</v>
      </c>
      <c r="T38" s="626">
        <v>0.47</v>
      </c>
      <c r="U38" s="626">
        <v>0.47</v>
      </c>
      <c r="V38" s="626">
        <v>0.47</v>
      </c>
    </row>
    <row r="39" spans="1:22" s="672" customFormat="1" ht="38.25" x14ac:dyDescent="0.2">
      <c r="A39" s="676" t="s">
        <v>334</v>
      </c>
      <c r="C39" s="674" t="s">
        <v>1145</v>
      </c>
      <c r="D39" s="674" t="s">
        <v>1145</v>
      </c>
      <c r="E39" s="674" t="s">
        <v>1145</v>
      </c>
      <c r="F39" s="674" t="s">
        <v>1145</v>
      </c>
      <c r="G39" s="674" t="s">
        <v>1145</v>
      </c>
      <c r="H39" s="674" t="s">
        <v>1145</v>
      </c>
      <c r="I39" s="674" t="s">
        <v>1145</v>
      </c>
      <c r="J39" s="674" t="s">
        <v>1145</v>
      </c>
      <c r="K39" s="674" t="s">
        <v>1145</v>
      </c>
      <c r="L39" s="674" t="s">
        <v>1145</v>
      </c>
      <c r="M39" s="674" t="s">
        <v>1145</v>
      </c>
      <c r="N39" s="674" t="s">
        <v>1145</v>
      </c>
      <c r="O39" s="674" t="s">
        <v>1145</v>
      </c>
      <c r="P39" s="674" t="s">
        <v>1145</v>
      </c>
      <c r="Q39" s="674" t="s">
        <v>1145</v>
      </c>
      <c r="R39" s="674" t="s">
        <v>1145</v>
      </c>
      <c r="S39" s="674" t="s">
        <v>1145</v>
      </c>
      <c r="T39" s="674" t="s">
        <v>1145</v>
      </c>
      <c r="U39" s="674" t="s">
        <v>1145</v>
      </c>
      <c r="V39" s="674" t="s">
        <v>1145</v>
      </c>
    </row>
    <row r="41" spans="1:22" ht="15" x14ac:dyDescent="0.25">
      <c r="A41" s="602" t="s">
        <v>1135</v>
      </c>
    </row>
    <row r="42" spans="1:22" x14ac:dyDescent="0.2">
      <c r="A42" s="472" t="s">
        <v>1104</v>
      </c>
      <c r="B42" s="598" t="s">
        <v>1137</v>
      </c>
      <c r="C42" s="677">
        <f t="shared" ref="C42:V42" si="6">13552/(4*((2^(1/12))^(C4-49)*440))</f>
        <v>20.556533754218535</v>
      </c>
      <c r="D42" s="677">
        <f t="shared" si="6"/>
        <v>19.40278416838105</v>
      </c>
      <c r="E42" s="677">
        <f t="shared" si="6"/>
        <v>18.313789571041909</v>
      </c>
      <c r="F42" s="677">
        <f t="shared" si="6"/>
        <v>17.285915543964347</v>
      </c>
      <c r="G42" s="677">
        <f t="shared" si="6"/>
        <v>16.315731653133149</v>
      </c>
      <c r="H42" s="677">
        <f t="shared" si="6"/>
        <v>15.4</v>
      </c>
      <c r="I42" s="677">
        <f t="shared" si="6"/>
        <v>14.535664415298083</v>
      </c>
      <c r="J42" s="677">
        <f t="shared" si="6"/>
        <v>13.719840259361227</v>
      </c>
      <c r="K42" s="677">
        <f t="shared" si="6"/>
        <v>12.949804794907205</v>
      </c>
      <c r="L42" s="677">
        <f t="shared" si="6"/>
        <v>12.222988100155137</v>
      </c>
      <c r="M42" s="677">
        <f t="shared" si="6"/>
        <v>11.536964491950449</v>
      </c>
      <c r="N42" s="677">
        <f t="shared" si="6"/>
        <v>10.889444430272833</v>
      </c>
      <c r="O42" s="677">
        <f t="shared" si="6"/>
        <v>10.278266877109266</v>
      </c>
      <c r="P42" s="677">
        <f t="shared" si="6"/>
        <v>9.7013920841905232</v>
      </c>
      <c r="Q42" s="677">
        <f t="shared" si="6"/>
        <v>9.1568947855209544</v>
      </c>
      <c r="R42" s="677">
        <f t="shared" si="6"/>
        <v>8.6429577719821733</v>
      </c>
      <c r="S42" s="677">
        <f t="shared" si="6"/>
        <v>8.1578658265665744</v>
      </c>
      <c r="T42" s="677">
        <f t="shared" si="6"/>
        <v>7.7</v>
      </c>
      <c r="U42" s="677">
        <f t="shared" si="6"/>
        <v>7.2678322076490396</v>
      </c>
      <c r="V42" s="677">
        <f t="shared" si="6"/>
        <v>6.8599201296806127</v>
      </c>
    </row>
    <row r="43" spans="1:22" x14ac:dyDescent="0.2">
      <c r="A43" s="472" t="s">
        <v>1136</v>
      </c>
      <c r="C43" s="677">
        <f t="shared" ref="C43:V43" si="7">C42-C6</f>
        <v>5.9218349894088824</v>
      </c>
      <c r="D43" s="677">
        <f t="shared" si="7"/>
        <v>5.5894679304427104</v>
      </c>
      <c r="E43" s="677">
        <f t="shared" si="7"/>
        <v>5.2757552011029833</v>
      </c>
      <c r="F43" s="677">
        <f t="shared" si="7"/>
        <v>4.9796498143179448</v>
      </c>
      <c r="G43" s="677">
        <f t="shared" si="7"/>
        <v>4.7001635458848749</v>
      </c>
      <c r="H43" s="677">
        <f t="shared" si="7"/>
        <v>4.4363636363636374</v>
      </c>
      <c r="I43" s="677">
        <f t="shared" si="7"/>
        <v>4.1873696780787864</v>
      </c>
      <c r="J43" s="677">
        <f t="shared" si="7"/>
        <v>3.9523506768407781</v>
      </c>
      <c r="K43" s="677">
        <f t="shared" si="7"/>
        <v>3.730522278580116</v>
      </c>
      <c r="L43" s="677">
        <f t="shared" si="7"/>
        <v>3.521144151638552</v>
      </c>
      <c r="M43" s="677">
        <f t="shared" si="7"/>
        <v>3.3235175159810026</v>
      </c>
      <c r="N43" s="677">
        <f t="shared" si="7"/>
        <v>3.1369828110821389</v>
      </c>
      <c r="O43" s="677">
        <f t="shared" si="7"/>
        <v>2.9609174947044403</v>
      </c>
      <c r="P43" s="677">
        <f t="shared" si="7"/>
        <v>2.7947339652213552</v>
      </c>
      <c r="Q43" s="677">
        <f t="shared" si="7"/>
        <v>2.6378776005514917</v>
      </c>
      <c r="R43" s="677">
        <f t="shared" si="7"/>
        <v>2.4898249071589733</v>
      </c>
      <c r="S43" s="677">
        <f t="shared" si="7"/>
        <v>2.3500817729424375</v>
      </c>
      <c r="T43" s="677">
        <f t="shared" si="7"/>
        <v>2.2181818181818187</v>
      </c>
      <c r="U43" s="677">
        <f t="shared" si="7"/>
        <v>2.0936848390393923</v>
      </c>
      <c r="V43" s="677">
        <f t="shared" si="7"/>
        <v>1.9761753384203891</v>
      </c>
    </row>
    <row r="44" spans="1:22" x14ac:dyDescent="0.2">
      <c r="A44" s="472" t="s">
        <v>1105</v>
      </c>
      <c r="C44" s="626">
        <f t="shared" ref="C44:V44" si="8">0.6*(C10/2)</f>
        <v>0.1653</v>
      </c>
      <c r="D44" s="626">
        <f t="shared" si="8"/>
        <v>0.1653</v>
      </c>
      <c r="E44" s="626">
        <f t="shared" si="8"/>
        <v>0.1653</v>
      </c>
      <c r="F44" s="626">
        <f t="shared" si="8"/>
        <v>0.1653</v>
      </c>
      <c r="G44" s="626">
        <f t="shared" si="8"/>
        <v>0.1653</v>
      </c>
      <c r="H44" s="626">
        <f t="shared" si="8"/>
        <v>0.14159999999999998</v>
      </c>
      <c r="I44" s="626">
        <f t="shared" si="8"/>
        <v>0.14159999999999998</v>
      </c>
      <c r="J44" s="626">
        <f t="shared" si="8"/>
        <v>0.14159999999999998</v>
      </c>
      <c r="K44" s="626">
        <f t="shared" si="8"/>
        <v>0.14159999999999998</v>
      </c>
      <c r="L44" s="626">
        <f t="shared" si="8"/>
        <v>0.14159999999999998</v>
      </c>
      <c r="M44" s="626">
        <f t="shared" si="8"/>
        <v>0.1182</v>
      </c>
      <c r="N44" s="626">
        <f t="shared" si="8"/>
        <v>0.1182</v>
      </c>
      <c r="O44" s="626">
        <f t="shared" si="8"/>
        <v>0.1182</v>
      </c>
      <c r="P44" s="626">
        <f t="shared" si="8"/>
        <v>0.1182</v>
      </c>
      <c r="Q44" s="626">
        <f t="shared" si="8"/>
        <v>0.1182</v>
      </c>
      <c r="R44" s="626">
        <f t="shared" si="8"/>
        <v>9.4500000000000001E-2</v>
      </c>
      <c r="S44" s="626">
        <f t="shared" si="8"/>
        <v>9.4500000000000001E-2</v>
      </c>
      <c r="T44" s="626">
        <f t="shared" si="8"/>
        <v>9.4500000000000001E-2</v>
      </c>
      <c r="U44" s="626">
        <f t="shared" si="8"/>
        <v>9.4500000000000001E-2</v>
      </c>
      <c r="V44" s="626">
        <f t="shared" si="8"/>
        <v>9.4500000000000001E-2</v>
      </c>
    </row>
    <row r="46" spans="1:22" ht="15" x14ac:dyDescent="0.25">
      <c r="A46" s="603" t="s">
        <v>1138</v>
      </c>
    </row>
    <row r="47" spans="1:22" x14ac:dyDescent="0.2">
      <c r="A47" s="604" t="s">
        <v>1139</v>
      </c>
      <c r="B47" s="537" t="s">
        <v>785</v>
      </c>
      <c r="C47" s="626" t="s">
        <v>784</v>
      </c>
      <c r="D47" s="626" t="s">
        <v>792</v>
      </c>
      <c r="E47" s="626" t="s">
        <v>800</v>
      </c>
      <c r="F47" s="626" t="s">
        <v>205</v>
      </c>
      <c r="G47" s="626" t="s">
        <v>206</v>
      </c>
      <c r="H47" s="626" t="s">
        <v>207</v>
      </c>
      <c r="I47" s="626" t="s">
        <v>208</v>
      </c>
      <c r="J47" s="626" t="s">
        <v>209</v>
      </c>
      <c r="K47" s="626" t="s">
        <v>6</v>
      </c>
      <c r="L47" s="626" t="s">
        <v>7</v>
      </c>
      <c r="M47" s="626" t="s">
        <v>8</v>
      </c>
      <c r="N47" s="626" t="s">
        <v>9</v>
      </c>
      <c r="O47" s="626" t="s">
        <v>10</v>
      </c>
      <c r="P47" s="626" t="s">
        <v>240</v>
      </c>
      <c r="Q47" s="626" t="s">
        <v>12</v>
      </c>
      <c r="R47" s="626" t="s">
        <v>13</v>
      </c>
      <c r="S47" s="626" t="s">
        <v>14</v>
      </c>
      <c r="T47" s="626" t="s">
        <v>15</v>
      </c>
      <c r="U47" s="626" t="s">
        <v>16</v>
      </c>
      <c r="V47" s="626" t="s">
        <v>17</v>
      </c>
    </row>
    <row r="48" spans="1:22" x14ac:dyDescent="0.2">
      <c r="A48" s="605"/>
      <c r="B48" s="537" t="s">
        <v>1014</v>
      </c>
      <c r="C48" s="678">
        <f t="shared" ref="C48:V48" si="9">((2^(1/12))^(C4-49))*440</f>
        <v>164.81377845643493</v>
      </c>
      <c r="D48" s="678">
        <f t="shared" si="9"/>
        <v>174.61411571650191</v>
      </c>
      <c r="E48" s="678">
        <f t="shared" si="9"/>
        <v>184.99721135581717</v>
      </c>
      <c r="F48" s="678">
        <f t="shared" si="9"/>
        <v>195.99771799087461</v>
      </c>
      <c r="G48" s="678">
        <f t="shared" si="9"/>
        <v>207.65234878997256</v>
      </c>
      <c r="H48" s="678">
        <f t="shared" si="9"/>
        <v>220</v>
      </c>
      <c r="I48" s="678">
        <f t="shared" si="9"/>
        <v>233.08188075904491</v>
      </c>
      <c r="J48" s="678">
        <f t="shared" si="9"/>
        <v>246.94165062806201</v>
      </c>
      <c r="K48" s="678">
        <f t="shared" si="9"/>
        <v>261.62556530059862</v>
      </c>
      <c r="L48" s="678">
        <f t="shared" si="9"/>
        <v>277.18263097687208</v>
      </c>
      <c r="M48" s="678">
        <f t="shared" si="9"/>
        <v>293.66476791740752</v>
      </c>
      <c r="N48" s="678">
        <f t="shared" si="9"/>
        <v>311.12698372208087</v>
      </c>
      <c r="O48" s="678">
        <f t="shared" si="9"/>
        <v>329.62755691286992</v>
      </c>
      <c r="P48" s="678">
        <f t="shared" si="9"/>
        <v>349.22823143300388</v>
      </c>
      <c r="Q48" s="678">
        <f t="shared" si="9"/>
        <v>369.99442271163434</v>
      </c>
      <c r="R48" s="678">
        <f t="shared" si="9"/>
        <v>391.99543598174927</v>
      </c>
      <c r="S48" s="678">
        <f t="shared" si="9"/>
        <v>415.30469757994513</v>
      </c>
      <c r="T48" s="678">
        <f t="shared" si="9"/>
        <v>440</v>
      </c>
      <c r="U48" s="678">
        <f t="shared" si="9"/>
        <v>466.16376151808993</v>
      </c>
      <c r="V48" s="678">
        <f t="shared" si="9"/>
        <v>493.88330125612413</v>
      </c>
    </row>
    <row r="49" spans="1:22" x14ac:dyDescent="0.2">
      <c r="A49" s="604" t="s">
        <v>1108</v>
      </c>
      <c r="B49" s="537" t="s">
        <v>785</v>
      </c>
      <c r="C49" s="626" t="s">
        <v>800</v>
      </c>
      <c r="D49" s="626" t="s">
        <v>205</v>
      </c>
      <c r="E49" s="626" t="s">
        <v>206</v>
      </c>
      <c r="F49" s="626" t="s">
        <v>207</v>
      </c>
      <c r="G49" s="626" t="s">
        <v>208</v>
      </c>
      <c r="H49" s="626" t="s">
        <v>209</v>
      </c>
      <c r="I49" s="626" t="s">
        <v>6</v>
      </c>
      <c r="J49" s="626" t="s">
        <v>7</v>
      </c>
      <c r="K49" s="626" t="s">
        <v>8</v>
      </c>
      <c r="L49" s="626" t="s">
        <v>9</v>
      </c>
      <c r="M49" s="626" t="s">
        <v>10</v>
      </c>
      <c r="N49" s="626" t="s">
        <v>240</v>
      </c>
      <c r="O49" s="626" t="s">
        <v>12</v>
      </c>
      <c r="P49" s="626" t="s">
        <v>13</v>
      </c>
      <c r="Q49" s="626" t="s">
        <v>14</v>
      </c>
      <c r="R49" s="626" t="s">
        <v>15</v>
      </c>
      <c r="S49" s="626" t="s">
        <v>16</v>
      </c>
      <c r="T49" s="626" t="s">
        <v>17</v>
      </c>
      <c r="U49" s="626" t="s">
        <v>18</v>
      </c>
      <c r="V49" s="626" t="s">
        <v>19</v>
      </c>
    </row>
    <row r="50" spans="1:22" x14ac:dyDescent="0.2">
      <c r="B50" s="537" t="s">
        <v>1014</v>
      </c>
      <c r="C50" s="678">
        <f t="shared" ref="C50:V50" si="10">((2^(1/12))^(C4+2-49))*440</f>
        <v>184.99721135581717</v>
      </c>
      <c r="D50" s="678">
        <f t="shared" si="10"/>
        <v>195.99771799087461</v>
      </c>
      <c r="E50" s="678">
        <f t="shared" si="10"/>
        <v>207.65234878997256</v>
      </c>
      <c r="F50" s="678">
        <f t="shared" si="10"/>
        <v>220</v>
      </c>
      <c r="G50" s="678">
        <f t="shared" si="10"/>
        <v>233.08188075904491</v>
      </c>
      <c r="H50" s="678">
        <f t="shared" si="10"/>
        <v>246.94165062806201</v>
      </c>
      <c r="I50" s="678">
        <f t="shared" si="10"/>
        <v>261.62556530059862</v>
      </c>
      <c r="J50" s="678">
        <f t="shared" si="10"/>
        <v>277.18263097687208</v>
      </c>
      <c r="K50" s="678">
        <f t="shared" si="10"/>
        <v>293.66476791740752</v>
      </c>
      <c r="L50" s="678">
        <f t="shared" si="10"/>
        <v>311.12698372208087</v>
      </c>
      <c r="M50" s="678">
        <f t="shared" si="10"/>
        <v>329.62755691286992</v>
      </c>
      <c r="N50" s="678">
        <f t="shared" si="10"/>
        <v>349.22823143300388</v>
      </c>
      <c r="O50" s="678">
        <f t="shared" si="10"/>
        <v>369.99442271163434</v>
      </c>
      <c r="P50" s="678">
        <f t="shared" si="10"/>
        <v>391.99543598174927</v>
      </c>
      <c r="Q50" s="678">
        <f t="shared" si="10"/>
        <v>415.30469757994513</v>
      </c>
      <c r="R50" s="678">
        <f t="shared" si="10"/>
        <v>440</v>
      </c>
      <c r="S50" s="678">
        <f t="shared" si="10"/>
        <v>466.16376151808993</v>
      </c>
      <c r="T50" s="678">
        <f t="shared" si="10"/>
        <v>493.88330125612413</v>
      </c>
      <c r="U50" s="678">
        <f t="shared" si="10"/>
        <v>523.25113060119736</v>
      </c>
      <c r="V50" s="678">
        <f t="shared" si="10"/>
        <v>554.36526195374415</v>
      </c>
    </row>
    <row r="51" spans="1:22" x14ac:dyDescent="0.2">
      <c r="B51" s="537" t="s">
        <v>1109</v>
      </c>
    </row>
    <row r="52" spans="1:22" x14ac:dyDescent="0.2">
      <c r="B52" s="537" t="s">
        <v>1110</v>
      </c>
      <c r="C52" s="677">
        <f t="shared" ref="C52:V52" si="11">C42*C48/C50</f>
        <v>18.313789571041909</v>
      </c>
      <c r="D52" s="677">
        <f t="shared" si="11"/>
        <v>17.285915543964347</v>
      </c>
      <c r="E52" s="677">
        <f t="shared" si="11"/>
        <v>16.315731653133149</v>
      </c>
      <c r="F52" s="677">
        <f t="shared" si="11"/>
        <v>15.4</v>
      </c>
      <c r="G52" s="677">
        <f t="shared" si="11"/>
        <v>14.535664415298085</v>
      </c>
      <c r="H52" s="677">
        <f t="shared" si="11"/>
        <v>13.719840259361227</v>
      </c>
      <c r="I52" s="677">
        <f t="shared" si="11"/>
        <v>12.949804794907205</v>
      </c>
      <c r="J52" s="677">
        <f t="shared" si="11"/>
        <v>12.222988100155137</v>
      </c>
      <c r="K52" s="677">
        <f t="shared" si="11"/>
        <v>11.536964491950449</v>
      </c>
      <c r="L52" s="677">
        <f t="shared" si="11"/>
        <v>10.889444430272833</v>
      </c>
      <c r="M52" s="677">
        <f t="shared" si="11"/>
        <v>10.278266877109266</v>
      </c>
      <c r="N52" s="677">
        <f t="shared" si="11"/>
        <v>9.7013920841905232</v>
      </c>
      <c r="O52" s="677">
        <f t="shared" si="11"/>
        <v>9.1568947855209544</v>
      </c>
      <c r="P52" s="677">
        <f t="shared" si="11"/>
        <v>8.6429577719821733</v>
      </c>
      <c r="Q52" s="677">
        <f t="shared" si="11"/>
        <v>8.1578658265665744</v>
      </c>
      <c r="R52" s="677">
        <f t="shared" si="11"/>
        <v>7.7000000000000011</v>
      </c>
      <c r="S52" s="677">
        <f t="shared" si="11"/>
        <v>7.2678322076490405</v>
      </c>
      <c r="T52" s="677">
        <f t="shared" si="11"/>
        <v>6.8599201296806127</v>
      </c>
      <c r="U52" s="677">
        <f t="shared" si="11"/>
        <v>6.4749023974536009</v>
      </c>
      <c r="V52" s="677">
        <f t="shared" si="11"/>
        <v>6.1114940500775683</v>
      </c>
    </row>
    <row r="53" spans="1:22" x14ac:dyDescent="0.2">
      <c r="A53" s="604" t="s">
        <v>1111</v>
      </c>
      <c r="B53" s="537" t="s">
        <v>785</v>
      </c>
      <c r="C53" s="626" t="s">
        <v>205</v>
      </c>
      <c r="D53" s="626" t="s">
        <v>206</v>
      </c>
      <c r="E53" s="626" t="s">
        <v>207</v>
      </c>
      <c r="F53" s="626" t="s">
        <v>208</v>
      </c>
      <c r="G53" s="626" t="s">
        <v>209</v>
      </c>
      <c r="H53" s="626" t="s">
        <v>6</v>
      </c>
      <c r="I53" s="626" t="s">
        <v>7</v>
      </c>
      <c r="J53" s="626" t="s">
        <v>8</v>
      </c>
      <c r="K53" s="626" t="s">
        <v>9</v>
      </c>
      <c r="L53" s="626" t="s">
        <v>10</v>
      </c>
      <c r="M53" s="626" t="s">
        <v>240</v>
      </c>
      <c r="N53" s="626" t="s">
        <v>12</v>
      </c>
      <c r="O53" s="626" t="s">
        <v>13</v>
      </c>
      <c r="P53" s="626" t="s">
        <v>14</v>
      </c>
      <c r="Q53" s="626" t="s">
        <v>15</v>
      </c>
      <c r="R53" s="626" t="s">
        <v>16</v>
      </c>
      <c r="S53" s="626" t="s">
        <v>17</v>
      </c>
      <c r="T53" s="626" t="s">
        <v>18</v>
      </c>
      <c r="U53" s="626" t="s">
        <v>19</v>
      </c>
      <c r="V53" s="626" t="s">
        <v>20</v>
      </c>
    </row>
    <row r="54" spans="1:22" x14ac:dyDescent="0.2">
      <c r="B54" s="537" t="s">
        <v>1014</v>
      </c>
      <c r="C54" s="678">
        <f t="shared" ref="C54:V54" si="12">((2^(1/12))^(C4+3-49))*440</f>
        <v>195.99771799087461</v>
      </c>
      <c r="D54" s="678">
        <f t="shared" si="12"/>
        <v>207.65234878997256</v>
      </c>
      <c r="E54" s="678">
        <f t="shared" si="12"/>
        <v>220</v>
      </c>
      <c r="F54" s="678">
        <f t="shared" si="12"/>
        <v>233.08188075904491</v>
      </c>
      <c r="G54" s="678">
        <f t="shared" si="12"/>
        <v>246.94165062806201</v>
      </c>
      <c r="H54" s="678">
        <f t="shared" si="12"/>
        <v>261.62556530059862</v>
      </c>
      <c r="I54" s="678">
        <f t="shared" si="12"/>
        <v>277.18263097687208</v>
      </c>
      <c r="J54" s="678">
        <f t="shared" si="12"/>
        <v>293.66476791740752</v>
      </c>
      <c r="K54" s="678">
        <f t="shared" si="12"/>
        <v>311.12698372208087</v>
      </c>
      <c r="L54" s="678">
        <f t="shared" si="12"/>
        <v>329.62755691286992</v>
      </c>
      <c r="M54" s="678">
        <f t="shared" si="12"/>
        <v>349.22823143300388</v>
      </c>
      <c r="N54" s="678">
        <f t="shared" si="12"/>
        <v>369.99442271163434</v>
      </c>
      <c r="O54" s="678">
        <f t="shared" si="12"/>
        <v>391.99543598174927</v>
      </c>
      <c r="P54" s="678">
        <f t="shared" si="12"/>
        <v>415.30469757994513</v>
      </c>
      <c r="Q54" s="678">
        <f t="shared" si="12"/>
        <v>440</v>
      </c>
      <c r="R54" s="678">
        <f t="shared" si="12"/>
        <v>466.16376151808993</v>
      </c>
      <c r="S54" s="678">
        <f t="shared" si="12"/>
        <v>493.88330125612413</v>
      </c>
      <c r="T54" s="678">
        <f t="shared" si="12"/>
        <v>523.25113060119736</v>
      </c>
      <c r="U54" s="678">
        <f t="shared" si="12"/>
        <v>554.36526195374415</v>
      </c>
      <c r="V54" s="678">
        <f t="shared" si="12"/>
        <v>587.32953583481515</v>
      </c>
    </row>
    <row r="55" spans="1:22" x14ac:dyDescent="0.2">
      <c r="B55" s="537" t="s">
        <v>1109</v>
      </c>
    </row>
    <row r="56" spans="1:22" x14ac:dyDescent="0.2">
      <c r="B56" s="537" t="s">
        <v>1110</v>
      </c>
      <c r="C56" s="677">
        <f t="shared" ref="C56:V56" si="13">C42*C48/C54</f>
        <v>17.285915543964347</v>
      </c>
      <c r="D56" s="677">
        <f t="shared" si="13"/>
        <v>16.315731653133149</v>
      </c>
      <c r="E56" s="677">
        <f t="shared" si="13"/>
        <v>15.400000000000002</v>
      </c>
      <c r="F56" s="677">
        <f t="shared" si="13"/>
        <v>14.535664415298083</v>
      </c>
      <c r="G56" s="677">
        <f t="shared" si="13"/>
        <v>13.719840259361229</v>
      </c>
      <c r="H56" s="677">
        <f t="shared" si="13"/>
        <v>12.949804794907205</v>
      </c>
      <c r="I56" s="677">
        <f t="shared" si="13"/>
        <v>12.222988100155137</v>
      </c>
      <c r="J56" s="677">
        <f t="shared" si="13"/>
        <v>11.536964491950449</v>
      </c>
      <c r="K56" s="677">
        <f t="shared" si="13"/>
        <v>10.889444430272833</v>
      </c>
      <c r="L56" s="677">
        <f t="shared" si="13"/>
        <v>10.278266877109266</v>
      </c>
      <c r="M56" s="677">
        <f t="shared" si="13"/>
        <v>9.7013920841905232</v>
      </c>
      <c r="N56" s="677">
        <f t="shared" si="13"/>
        <v>9.1568947855209544</v>
      </c>
      <c r="O56" s="677">
        <f t="shared" si="13"/>
        <v>8.6429577719821733</v>
      </c>
      <c r="P56" s="677">
        <f t="shared" si="13"/>
        <v>8.1578658265665744</v>
      </c>
      <c r="Q56" s="677">
        <f t="shared" si="13"/>
        <v>7.7000000000000011</v>
      </c>
      <c r="R56" s="677">
        <f t="shared" si="13"/>
        <v>7.2678322076490405</v>
      </c>
      <c r="S56" s="677">
        <f t="shared" si="13"/>
        <v>6.8599201296806136</v>
      </c>
      <c r="T56" s="677">
        <f t="shared" si="13"/>
        <v>6.4749023974536009</v>
      </c>
      <c r="U56" s="677">
        <f t="shared" si="13"/>
        <v>6.1114940500775683</v>
      </c>
      <c r="V56" s="677">
        <f t="shared" si="13"/>
        <v>5.7684822459752239</v>
      </c>
    </row>
    <row r="57" spans="1:22" x14ac:dyDescent="0.2">
      <c r="A57" s="604" t="s">
        <v>1112</v>
      </c>
      <c r="B57" s="537" t="s">
        <v>785</v>
      </c>
      <c r="C57" s="626" t="s">
        <v>207</v>
      </c>
      <c r="D57" s="626" t="s">
        <v>208</v>
      </c>
      <c r="E57" s="626" t="s">
        <v>209</v>
      </c>
      <c r="F57" s="626" t="s">
        <v>6</v>
      </c>
      <c r="G57" s="626" t="s">
        <v>7</v>
      </c>
      <c r="H57" s="626" t="s">
        <v>8</v>
      </c>
      <c r="I57" s="626" t="s">
        <v>9</v>
      </c>
      <c r="J57" s="626" t="s">
        <v>10</v>
      </c>
      <c r="K57" s="626" t="s">
        <v>240</v>
      </c>
      <c r="L57" s="626" t="s">
        <v>12</v>
      </c>
      <c r="M57" s="626" t="s">
        <v>13</v>
      </c>
      <c r="N57" s="626" t="s">
        <v>14</v>
      </c>
      <c r="O57" s="626" t="s">
        <v>15</v>
      </c>
      <c r="P57" s="626" t="s">
        <v>16</v>
      </c>
      <c r="Q57" s="626" t="s">
        <v>17</v>
      </c>
      <c r="R57" s="626" t="s">
        <v>18</v>
      </c>
      <c r="S57" s="626" t="s">
        <v>19</v>
      </c>
      <c r="T57" s="626" t="s">
        <v>20</v>
      </c>
      <c r="U57" s="626" t="s">
        <v>35</v>
      </c>
      <c r="V57" s="626" t="s">
        <v>210</v>
      </c>
    </row>
    <row r="58" spans="1:22" x14ac:dyDescent="0.2">
      <c r="B58" s="537" t="s">
        <v>1014</v>
      </c>
      <c r="C58" s="678">
        <f t="shared" ref="C58:V58" si="14">((2^(1/12))^(C4+5-49))*440</f>
        <v>220</v>
      </c>
      <c r="D58" s="678">
        <f t="shared" si="14"/>
        <v>233.08188075904491</v>
      </c>
      <c r="E58" s="678">
        <f t="shared" si="14"/>
        <v>246.94165062806201</v>
      </c>
      <c r="F58" s="678">
        <f t="shared" si="14"/>
        <v>261.62556530059862</v>
      </c>
      <c r="G58" s="678">
        <f t="shared" si="14"/>
        <v>277.18263097687208</v>
      </c>
      <c r="H58" s="678">
        <f t="shared" si="14"/>
        <v>293.66476791740752</v>
      </c>
      <c r="I58" s="678">
        <f t="shared" si="14"/>
        <v>311.12698372208087</v>
      </c>
      <c r="J58" s="678">
        <f t="shared" si="14"/>
        <v>329.62755691286992</v>
      </c>
      <c r="K58" s="678">
        <f t="shared" si="14"/>
        <v>349.22823143300388</v>
      </c>
      <c r="L58" s="678">
        <f t="shared" si="14"/>
        <v>369.99442271163434</v>
      </c>
      <c r="M58" s="678">
        <f t="shared" si="14"/>
        <v>391.99543598174927</v>
      </c>
      <c r="N58" s="678">
        <f t="shared" si="14"/>
        <v>415.30469757994513</v>
      </c>
      <c r="O58" s="678">
        <f t="shared" si="14"/>
        <v>440</v>
      </c>
      <c r="P58" s="678">
        <f t="shared" si="14"/>
        <v>466.16376151808993</v>
      </c>
      <c r="Q58" s="678">
        <f t="shared" si="14"/>
        <v>493.88330125612413</v>
      </c>
      <c r="R58" s="678">
        <f t="shared" si="14"/>
        <v>523.25113060119736</v>
      </c>
      <c r="S58" s="678">
        <f t="shared" si="14"/>
        <v>554.36526195374415</v>
      </c>
      <c r="T58" s="678">
        <f t="shared" si="14"/>
        <v>587.32953583481515</v>
      </c>
      <c r="U58" s="678">
        <f t="shared" si="14"/>
        <v>622.25396744416184</v>
      </c>
      <c r="V58" s="678">
        <f t="shared" si="14"/>
        <v>659.25511382573995</v>
      </c>
    </row>
    <row r="59" spans="1:22" x14ac:dyDescent="0.2">
      <c r="B59" s="537" t="s">
        <v>1109</v>
      </c>
    </row>
    <row r="60" spans="1:22" x14ac:dyDescent="0.2">
      <c r="B60" s="537" t="s">
        <v>1110</v>
      </c>
      <c r="C60" s="677">
        <f t="shared" ref="C60:V60" si="15">C42*C48/C58</f>
        <v>15.4</v>
      </c>
      <c r="D60" s="677">
        <f t="shared" si="15"/>
        <v>14.535664415298083</v>
      </c>
      <c r="E60" s="677">
        <f t="shared" si="15"/>
        <v>13.719840259361229</v>
      </c>
      <c r="F60" s="677">
        <f t="shared" si="15"/>
        <v>12.949804794907205</v>
      </c>
      <c r="G60" s="677">
        <f t="shared" si="15"/>
        <v>12.222988100155138</v>
      </c>
      <c r="H60" s="677">
        <f t="shared" si="15"/>
        <v>11.536964491950449</v>
      </c>
      <c r="I60" s="677">
        <f t="shared" si="15"/>
        <v>10.889444430272833</v>
      </c>
      <c r="J60" s="677">
        <f t="shared" si="15"/>
        <v>10.278266877109266</v>
      </c>
      <c r="K60" s="677">
        <f t="shared" si="15"/>
        <v>9.7013920841905232</v>
      </c>
      <c r="L60" s="677">
        <f t="shared" si="15"/>
        <v>9.1568947855209544</v>
      </c>
      <c r="M60" s="677">
        <f t="shared" si="15"/>
        <v>8.6429577719821733</v>
      </c>
      <c r="N60" s="677">
        <f t="shared" si="15"/>
        <v>8.1578658265665744</v>
      </c>
      <c r="O60" s="677">
        <f t="shared" si="15"/>
        <v>7.7</v>
      </c>
      <c r="P60" s="677">
        <f t="shared" si="15"/>
        <v>7.2678322076490396</v>
      </c>
      <c r="Q60" s="677">
        <f t="shared" si="15"/>
        <v>6.8599201296806136</v>
      </c>
      <c r="R60" s="677">
        <f t="shared" si="15"/>
        <v>6.4749023974536017</v>
      </c>
      <c r="S60" s="677">
        <f t="shared" si="15"/>
        <v>6.1114940500775692</v>
      </c>
      <c r="T60" s="677">
        <f t="shared" si="15"/>
        <v>5.7684822459752239</v>
      </c>
      <c r="U60" s="677">
        <f t="shared" si="15"/>
        <v>5.4447222151364159</v>
      </c>
      <c r="V60" s="677">
        <f t="shared" si="15"/>
        <v>5.1391334385546319</v>
      </c>
    </row>
    <row r="61" spans="1:22" x14ac:dyDescent="0.2">
      <c r="A61" s="604" t="s">
        <v>1113</v>
      </c>
      <c r="B61" s="537" t="s">
        <v>785</v>
      </c>
      <c r="C61" s="626" t="s">
        <v>209</v>
      </c>
      <c r="D61" s="626" t="s">
        <v>6</v>
      </c>
      <c r="E61" s="626" t="s">
        <v>7</v>
      </c>
      <c r="F61" s="626" t="s">
        <v>8</v>
      </c>
      <c r="G61" s="626" t="s">
        <v>9</v>
      </c>
      <c r="H61" s="626" t="s">
        <v>10</v>
      </c>
      <c r="I61" s="626" t="s">
        <v>240</v>
      </c>
      <c r="J61" s="626" t="s">
        <v>12</v>
      </c>
      <c r="K61" s="626" t="s">
        <v>13</v>
      </c>
      <c r="L61" s="626" t="s">
        <v>14</v>
      </c>
      <c r="M61" s="626" t="s">
        <v>15</v>
      </c>
      <c r="N61" s="626" t="s">
        <v>16</v>
      </c>
      <c r="O61" s="626" t="s">
        <v>17</v>
      </c>
      <c r="P61" s="626" t="s">
        <v>18</v>
      </c>
      <c r="Q61" s="626" t="s">
        <v>19</v>
      </c>
      <c r="R61" s="626" t="s">
        <v>20</v>
      </c>
      <c r="S61" s="626" t="s">
        <v>35</v>
      </c>
      <c r="T61" s="626" t="s">
        <v>210</v>
      </c>
      <c r="U61" s="626" t="s">
        <v>211</v>
      </c>
      <c r="V61" s="626" t="s">
        <v>45</v>
      </c>
    </row>
    <row r="62" spans="1:22" x14ac:dyDescent="0.2">
      <c r="B62" s="537" t="s">
        <v>1014</v>
      </c>
      <c r="C62" s="678">
        <f t="shared" ref="C62:V62" si="16">((2^(1/12))^(C4+7-49))*440</f>
        <v>246.94165062806201</v>
      </c>
      <c r="D62" s="678">
        <f t="shared" si="16"/>
        <v>261.62556530059862</v>
      </c>
      <c r="E62" s="678">
        <f t="shared" si="16"/>
        <v>277.18263097687208</v>
      </c>
      <c r="F62" s="678">
        <f t="shared" si="16"/>
        <v>293.66476791740752</v>
      </c>
      <c r="G62" s="678">
        <f t="shared" si="16"/>
        <v>311.12698372208087</v>
      </c>
      <c r="H62" s="678">
        <f t="shared" si="16"/>
        <v>329.62755691286992</v>
      </c>
      <c r="I62" s="678">
        <f t="shared" si="16"/>
        <v>349.22823143300388</v>
      </c>
      <c r="J62" s="678">
        <f t="shared" si="16"/>
        <v>369.99442271163434</v>
      </c>
      <c r="K62" s="678">
        <f t="shared" si="16"/>
        <v>391.99543598174927</v>
      </c>
      <c r="L62" s="678">
        <f t="shared" si="16"/>
        <v>415.30469757994513</v>
      </c>
      <c r="M62" s="678">
        <f t="shared" si="16"/>
        <v>440</v>
      </c>
      <c r="N62" s="678">
        <f t="shared" si="16"/>
        <v>466.16376151808993</v>
      </c>
      <c r="O62" s="678">
        <f t="shared" si="16"/>
        <v>493.88330125612413</v>
      </c>
      <c r="P62" s="678">
        <f t="shared" si="16"/>
        <v>523.25113060119736</v>
      </c>
      <c r="Q62" s="678">
        <f t="shared" si="16"/>
        <v>554.36526195374415</v>
      </c>
      <c r="R62" s="678">
        <f t="shared" si="16"/>
        <v>587.32953583481515</v>
      </c>
      <c r="S62" s="678">
        <f t="shared" si="16"/>
        <v>622.25396744416184</v>
      </c>
      <c r="T62" s="678">
        <f t="shared" si="16"/>
        <v>659.25511382573995</v>
      </c>
      <c r="U62" s="678">
        <f t="shared" si="16"/>
        <v>698.45646286600777</v>
      </c>
      <c r="V62" s="678">
        <f t="shared" si="16"/>
        <v>739.98884542326891</v>
      </c>
    </row>
    <row r="63" spans="1:22" x14ac:dyDescent="0.2">
      <c r="B63" s="537" t="s">
        <v>1109</v>
      </c>
    </row>
    <row r="64" spans="1:22" x14ac:dyDescent="0.2">
      <c r="B64" s="537" t="s">
        <v>1110</v>
      </c>
      <c r="C64" s="677">
        <f t="shared" ref="C64:V64" si="17">C42*C48/C62</f>
        <v>13.719840259361227</v>
      </c>
      <c r="D64" s="677">
        <f t="shared" si="17"/>
        <v>12.949804794907205</v>
      </c>
      <c r="E64" s="677">
        <f t="shared" si="17"/>
        <v>12.222988100155138</v>
      </c>
      <c r="F64" s="677">
        <f t="shared" si="17"/>
        <v>11.536964491950449</v>
      </c>
      <c r="G64" s="677">
        <f t="shared" si="17"/>
        <v>10.889444430272835</v>
      </c>
      <c r="H64" s="677">
        <f t="shared" si="17"/>
        <v>10.278266877109266</v>
      </c>
      <c r="I64" s="677">
        <f t="shared" si="17"/>
        <v>9.7013920841905232</v>
      </c>
      <c r="J64" s="677">
        <f t="shared" si="17"/>
        <v>9.1568947855209544</v>
      </c>
      <c r="K64" s="677">
        <f t="shared" si="17"/>
        <v>8.6429577719821733</v>
      </c>
      <c r="L64" s="677">
        <f t="shared" si="17"/>
        <v>8.1578658265665744</v>
      </c>
      <c r="M64" s="677">
        <f t="shared" si="17"/>
        <v>7.7</v>
      </c>
      <c r="N64" s="677">
        <f t="shared" si="17"/>
        <v>7.2678322076490396</v>
      </c>
      <c r="O64" s="677">
        <f t="shared" si="17"/>
        <v>6.8599201296806127</v>
      </c>
      <c r="P64" s="677">
        <f t="shared" si="17"/>
        <v>6.4749023974536009</v>
      </c>
      <c r="Q64" s="677">
        <f t="shared" si="17"/>
        <v>6.1114940500775692</v>
      </c>
      <c r="R64" s="677">
        <f t="shared" si="17"/>
        <v>5.7684822459752239</v>
      </c>
      <c r="S64" s="677">
        <f t="shared" si="17"/>
        <v>5.4447222151364167</v>
      </c>
      <c r="T64" s="677">
        <f t="shared" si="17"/>
        <v>5.1391334385546319</v>
      </c>
      <c r="U64" s="677">
        <f t="shared" si="17"/>
        <v>4.8506960420952616</v>
      </c>
      <c r="V64" s="677">
        <f t="shared" si="17"/>
        <v>4.5784473927604754</v>
      </c>
    </row>
    <row r="65" spans="1:22" x14ac:dyDescent="0.2">
      <c r="A65" s="604" t="s">
        <v>1114</v>
      </c>
      <c r="B65" s="537" t="s">
        <v>785</v>
      </c>
      <c r="C65" s="626" t="s">
        <v>6</v>
      </c>
      <c r="D65" s="626" t="s">
        <v>7</v>
      </c>
      <c r="E65" s="626" t="s">
        <v>8</v>
      </c>
      <c r="F65" s="626" t="s">
        <v>9</v>
      </c>
      <c r="G65" s="626" t="s">
        <v>10</v>
      </c>
      <c r="H65" s="626" t="s">
        <v>240</v>
      </c>
      <c r="I65" s="626" t="s">
        <v>12</v>
      </c>
      <c r="J65" s="626" t="s">
        <v>13</v>
      </c>
      <c r="K65" s="626" t="s">
        <v>14</v>
      </c>
      <c r="L65" s="626" t="s">
        <v>15</v>
      </c>
      <c r="M65" s="626" t="s">
        <v>16</v>
      </c>
      <c r="N65" s="626" t="s">
        <v>17</v>
      </c>
      <c r="O65" s="626" t="s">
        <v>18</v>
      </c>
      <c r="P65" s="626" t="s">
        <v>19</v>
      </c>
      <c r="Q65" s="626" t="s">
        <v>20</v>
      </c>
      <c r="R65" s="626" t="s">
        <v>35</v>
      </c>
      <c r="S65" s="626" t="s">
        <v>210</v>
      </c>
      <c r="T65" s="626" t="s">
        <v>211</v>
      </c>
      <c r="U65" s="626" t="s">
        <v>45</v>
      </c>
      <c r="V65" s="626" t="s">
        <v>212</v>
      </c>
    </row>
    <row r="66" spans="1:22" x14ac:dyDescent="0.2">
      <c r="B66" s="537" t="s">
        <v>1014</v>
      </c>
      <c r="C66" s="678">
        <f t="shared" ref="C66:V66" si="18">((2^(1/12))^(C4+8-49))*440</f>
        <v>261.62556530059862</v>
      </c>
      <c r="D66" s="678">
        <f t="shared" si="18"/>
        <v>277.18263097687208</v>
      </c>
      <c r="E66" s="678">
        <f t="shared" si="18"/>
        <v>293.66476791740752</v>
      </c>
      <c r="F66" s="678">
        <f t="shared" si="18"/>
        <v>311.12698372208087</v>
      </c>
      <c r="G66" s="678">
        <f t="shared" si="18"/>
        <v>329.62755691286992</v>
      </c>
      <c r="H66" s="678">
        <f t="shared" si="18"/>
        <v>349.22823143300388</v>
      </c>
      <c r="I66" s="678">
        <f t="shared" si="18"/>
        <v>369.99442271163434</v>
      </c>
      <c r="J66" s="678">
        <f t="shared" si="18"/>
        <v>391.99543598174927</v>
      </c>
      <c r="K66" s="678">
        <f t="shared" si="18"/>
        <v>415.30469757994513</v>
      </c>
      <c r="L66" s="678">
        <f t="shared" si="18"/>
        <v>440</v>
      </c>
      <c r="M66" s="678">
        <f t="shared" si="18"/>
        <v>466.16376151808993</v>
      </c>
      <c r="N66" s="678">
        <f t="shared" si="18"/>
        <v>493.88330125612413</v>
      </c>
      <c r="O66" s="678">
        <f t="shared" si="18"/>
        <v>523.25113060119736</v>
      </c>
      <c r="P66" s="678">
        <f t="shared" si="18"/>
        <v>554.36526195374415</v>
      </c>
      <c r="Q66" s="678">
        <f t="shared" si="18"/>
        <v>587.32953583481515</v>
      </c>
      <c r="R66" s="678">
        <f t="shared" si="18"/>
        <v>622.25396744416184</v>
      </c>
      <c r="S66" s="678">
        <f t="shared" si="18"/>
        <v>659.25511382573995</v>
      </c>
      <c r="T66" s="678">
        <f t="shared" si="18"/>
        <v>698.45646286600777</v>
      </c>
      <c r="U66" s="678">
        <f t="shared" si="18"/>
        <v>739.98884542326891</v>
      </c>
      <c r="V66" s="678">
        <f t="shared" si="18"/>
        <v>783.99087196349865</v>
      </c>
    </row>
    <row r="67" spans="1:22" x14ac:dyDescent="0.2">
      <c r="B67" s="537" t="s">
        <v>1109</v>
      </c>
    </row>
    <row r="68" spans="1:22" x14ac:dyDescent="0.2">
      <c r="B68" s="537" t="s">
        <v>1110</v>
      </c>
      <c r="C68" s="677">
        <f t="shared" ref="C68:V68" si="19">C42*C48/C66</f>
        <v>12.949804794907205</v>
      </c>
      <c r="D68" s="677">
        <f t="shared" si="19"/>
        <v>12.222988100155137</v>
      </c>
      <c r="E68" s="677">
        <f t="shared" si="19"/>
        <v>11.536964491950451</v>
      </c>
      <c r="F68" s="677">
        <f t="shared" si="19"/>
        <v>10.889444430272833</v>
      </c>
      <c r="G68" s="677">
        <f t="shared" si="19"/>
        <v>10.278266877109266</v>
      </c>
      <c r="H68" s="677">
        <f t="shared" si="19"/>
        <v>9.7013920841905232</v>
      </c>
      <c r="I68" s="677">
        <f t="shared" si="19"/>
        <v>9.1568947855209544</v>
      </c>
      <c r="J68" s="677">
        <f t="shared" si="19"/>
        <v>8.6429577719821733</v>
      </c>
      <c r="K68" s="677">
        <f t="shared" si="19"/>
        <v>8.1578658265665744</v>
      </c>
      <c r="L68" s="677">
        <f t="shared" si="19"/>
        <v>7.7</v>
      </c>
      <c r="M68" s="677">
        <f t="shared" si="19"/>
        <v>7.2678322076490396</v>
      </c>
      <c r="N68" s="677">
        <f t="shared" si="19"/>
        <v>6.8599201296806127</v>
      </c>
      <c r="O68" s="677">
        <f t="shared" si="19"/>
        <v>6.4749023974536009</v>
      </c>
      <c r="P68" s="677">
        <f t="shared" si="19"/>
        <v>6.1114940500775683</v>
      </c>
      <c r="Q68" s="677">
        <f t="shared" si="19"/>
        <v>5.7684822459752239</v>
      </c>
      <c r="R68" s="677">
        <f t="shared" si="19"/>
        <v>5.4447222151364167</v>
      </c>
      <c r="S68" s="677">
        <f t="shared" si="19"/>
        <v>5.1391334385546319</v>
      </c>
      <c r="T68" s="677">
        <f t="shared" si="19"/>
        <v>4.8506960420952616</v>
      </c>
      <c r="U68" s="677">
        <f t="shared" si="19"/>
        <v>4.5784473927604754</v>
      </c>
      <c r="V68" s="677">
        <f t="shared" si="19"/>
        <v>4.3214788859910858</v>
      </c>
    </row>
    <row r="69" spans="1:22" x14ac:dyDescent="0.2">
      <c r="A69" s="604" t="s">
        <v>1115</v>
      </c>
      <c r="B69" s="537" t="s">
        <v>785</v>
      </c>
      <c r="C69" s="626" t="s">
        <v>8</v>
      </c>
      <c r="D69" s="626" t="s">
        <v>9</v>
      </c>
      <c r="E69" s="626" t="s">
        <v>10</v>
      </c>
      <c r="F69" s="626" t="s">
        <v>240</v>
      </c>
      <c r="G69" s="626" t="s">
        <v>12</v>
      </c>
      <c r="H69" s="626" t="s">
        <v>13</v>
      </c>
      <c r="I69" s="626" t="s">
        <v>14</v>
      </c>
      <c r="J69" s="626" t="s">
        <v>15</v>
      </c>
      <c r="K69" s="626" t="s">
        <v>16</v>
      </c>
      <c r="L69" s="626" t="s">
        <v>17</v>
      </c>
      <c r="M69" s="626" t="s">
        <v>18</v>
      </c>
      <c r="N69" s="626" t="s">
        <v>19</v>
      </c>
      <c r="O69" s="626" t="s">
        <v>20</v>
      </c>
      <c r="P69" s="626" t="s">
        <v>35</v>
      </c>
      <c r="Q69" s="626" t="s">
        <v>210</v>
      </c>
      <c r="R69" s="626" t="s">
        <v>211</v>
      </c>
      <c r="S69" s="626" t="s">
        <v>45</v>
      </c>
      <c r="T69" s="626" t="s">
        <v>212</v>
      </c>
      <c r="U69" s="626" t="s">
        <v>213</v>
      </c>
      <c r="V69" s="626" t="s">
        <v>725</v>
      </c>
    </row>
    <row r="70" spans="1:22" x14ac:dyDescent="0.2">
      <c r="B70" s="537" t="s">
        <v>1014</v>
      </c>
      <c r="C70" s="678">
        <f t="shared" ref="C70:V70" si="20">((2^(1/12))^(C4+10-49))*440</f>
        <v>293.66476791740752</v>
      </c>
      <c r="D70" s="678">
        <f t="shared" si="20"/>
        <v>311.12698372208087</v>
      </c>
      <c r="E70" s="678">
        <f t="shared" si="20"/>
        <v>329.62755691286992</v>
      </c>
      <c r="F70" s="678">
        <f t="shared" si="20"/>
        <v>349.22823143300388</v>
      </c>
      <c r="G70" s="678">
        <f t="shared" si="20"/>
        <v>369.99442271163434</v>
      </c>
      <c r="H70" s="678">
        <f t="shared" si="20"/>
        <v>391.99543598174927</v>
      </c>
      <c r="I70" s="678">
        <f t="shared" si="20"/>
        <v>415.30469757994513</v>
      </c>
      <c r="J70" s="678">
        <f t="shared" si="20"/>
        <v>440</v>
      </c>
      <c r="K70" s="678">
        <f t="shared" si="20"/>
        <v>466.16376151808993</v>
      </c>
      <c r="L70" s="678">
        <f t="shared" si="20"/>
        <v>493.88330125612413</v>
      </c>
      <c r="M70" s="678">
        <f t="shared" si="20"/>
        <v>523.25113060119736</v>
      </c>
      <c r="N70" s="678">
        <f t="shared" si="20"/>
        <v>554.36526195374415</v>
      </c>
      <c r="O70" s="678">
        <f t="shared" si="20"/>
        <v>587.32953583481515</v>
      </c>
      <c r="P70" s="678">
        <f t="shared" si="20"/>
        <v>622.25396744416184</v>
      </c>
      <c r="Q70" s="678">
        <f t="shared" si="20"/>
        <v>659.25511382573995</v>
      </c>
      <c r="R70" s="678">
        <f t="shared" si="20"/>
        <v>698.45646286600777</v>
      </c>
      <c r="S70" s="678">
        <f t="shared" si="20"/>
        <v>739.98884542326891</v>
      </c>
      <c r="T70" s="678">
        <f t="shared" si="20"/>
        <v>783.99087196349865</v>
      </c>
      <c r="U70" s="678">
        <f t="shared" si="20"/>
        <v>830.60939515989048</v>
      </c>
      <c r="V70" s="678">
        <f t="shared" si="20"/>
        <v>880</v>
      </c>
    </row>
    <row r="71" spans="1:22" x14ac:dyDescent="0.2">
      <c r="B71" s="537" t="s">
        <v>1109</v>
      </c>
    </row>
    <row r="72" spans="1:22" x14ac:dyDescent="0.2">
      <c r="B72" s="537" t="s">
        <v>1110</v>
      </c>
      <c r="C72" s="677">
        <f t="shared" ref="C72:V72" si="21">C42*C48/C70</f>
        <v>11.536964491950449</v>
      </c>
      <c r="D72" s="677">
        <f t="shared" si="21"/>
        <v>10.889444430272833</v>
      </c>
      <c r="E72" s="677">
        <f t="shared" si="21"/>
        <v>10.278266877109266</v>
      </c>
      <c r="F72" s="677">
        <f t="shared" si="21"/>
        <v>9.7013920841905232</v>
      </c>
      <c r="G72" s="677">
        <f t="shared" si="21"/>
        <v>9.1568947855209544</v>
      </c>
      <c r="H72" s="677">
        <f t="shared" si="21"/>
        <v>8.6429577719821733</v>
      </c>
      <c r="I72" s="677">
        <f t="shared" si="21"/>
        <v>8.1578658265665744</v>
      </c>
      <c r="J72" s="677">
        <f t="shared" si="21"/>
        <v>7.7</v>
      </c>
      <c r="K72" s="677">
        <f t="shared" si="21"/>
        <v>7.2678322076490396</v>
      </c>
      <c r="L72" s="677">
        <f t="shared" si="21"/>
        <v>6.8599201296806127</v>
      </c>
      <c r="M72" s="677">
        <f t="shared" si="21"/>
        <v>6.4749023974536009</v>
      </c>
      <c r="N72" s="677">
        <f t="shared" si="21"/>
        <v>6.1114940500775683</v>
      </c>
      <c r="O72" s="677">
        <f t="shared" si="21"/>
        <v>5.7684822459752239</v>
      </c>
      <c r="P72" s="677">
        <f t="shared" si="21"/>
        <v>5.4447222151364159</v>
      </c>
      <c r="Q72" s="677">
        <f t="shared" si="21"/>
        <v>5.1391334385546319</v>
      </c>
      <c r="R72" s="677">
        <f t="shared" si="21"/>
        <v>4.8506960420952625</v>
      </c>
      <c r="S72" s="677">
        <f t="shared" si="21"/>
        <v>4.5784473927604763</v>
      </c>
      <c r="T72" s="677">
        <f t="shared" si="21"/>
        <v>4.3214788859910858</v>
      </c>
      <c r="U72" s="677">
        <f t="shared" si="21"/>
        <v>4.0789329132832854</v>
      </c>
      <c r="V72" s="677">
        <f t="shared" si="21"/>
        <v>3.85</v>
      </c>
    </row>
    <row r="73" spans="1:22" x14ac:dyDescent="0.2">
      <c r="A73" s="604" t="s">
        <v>1116</v>
      </c>
      <c r="B73" s="537" t="s">
        <v>785</v>
      </c>
      <c r="C73" s="626" t="s">
        <v>10</v>
      </c>
      <c r="D73" s="626" t="s">
        <v>240</v>
      </c>
      <c r="E73" s="626" t="s">
        <v>12</v>
      </c>
      <c r="F73" s="626" t="s">
        <v>13</v>
      </c>
      <c r="G73" s="626" t="s">
        <v>14</v>
      </c>
      <c r="H73" s="626" t="s">
        <v>15</v>
      </c>
      <c r="I73" s="626" t="s">
        <v>16</v>
      </c>
      <c r="J73" s="626" t="s">
        <v>17</v>
      </c>
      <c r="K73" s="626" t="s">
        <v>18</v>
      </c>
      <c r="L73" s="626" t="s">
        <v>19</v>
      </c>
      <c r="M73" s="626" t="s">
        <v>20</v>
      </c>
      <c r="N73" s="626" t="s">
        <v>35</v>
      </c>
      <c r="O73" s="626" t="s">
        <v>210</v>
      </c>
      <c r="P73" s="626" t="s">
        <v>211</v>
      </c>
      <c r="Q73" s="626" t="s">
        <v>45</v>
      </c>
      <c r="R73" s="626" t="s">
        <v>212</v>
      </c>
      <c r="S73" s="626" t="s">
        <v>213</v>
      </c>
      <c r="T73" s="626" t="s">
        <v>725</v>
      </c>
      <c r="U73" s="626" t="s">
        <v>53</v>
      </c>
      <c r="V73" s="626" t="s">
        <v>734</v>
      </c>
    </row>
    <row r="74" spans="1:22" x14ac:dyDescent="0.2">
      <c r="B74" s="537" t="s">
        <v>1014</v>
      </c>
      <c r="C74" s="678">
        <f t="shared" ref="C74:V74" si="22">((2^(1/12))^(C4+12-49))*440</f>
        <v>329.62755691286992</v>
      </c>
      <c r="D74" s="678">
        <f t="shared" si="22"/>
        <v>349.22823143300388</v>
      </c>
      <c r="E74" s="678">
        <f t="shared" si="22"/>
        <v>369.99442271163434</v>
      </c>
      <c r="F74" s="678">
        <f t="shared" si="22"/>
        <v>391.99543598174927</v>
      </c>
      <c r="G74" s="678">
        <f t="shared" si="22"/>
        <v>415.30469757994513</v>
      </c>
      <c r="H74" s="678">
        <f t="shared" si="22"/>
        <v>440</v>
      </c>
      <c r="I74" s="678">
        <f t="shared" si="22"/>
        <v>466.16376151808993</v>
      </c>
      <c r="J74" s="678">
        <f t="shared" si="22"/>
        <v>493.88330125612413</v>
      </c>
      <c r="K74" s="678">
        <f t="shared" si="22"/>
        <v>523.25113060119736</v>
      </c>
      <c r="L74" s="678">
        <f t="shared" si="22"/>
        <v>554.36526195374415</v>
      </c>
      <c r="M74" s="678">
        <f t="shared" si="22"/>
        <v>587.32953583481515</v>
      </c>
      <c r="N74" s="678">
        <f t="shared" si="22"/>
        <v>622.25396744416184</v>
      </c>
      <c r="O74" s="678">
        <f t="shared" si="22"/>
        <v>659.25511382573995</v>
      </c>
      <c r="P74" s="678">
        <f t="shared" si="22"/>
        <v>698.45646286600777</v>
      </c>
      <c r="Q74" s="678">
        <f t="shared" si="22"/>
        <v>739.98884542326891</v>
      </c>
      <c r="R74" s="678">
        <f t="shared" si="22"/>
        <v>783.99087196349865</v>
      </c>
      <c r="S74" s="678">
        <f t="shared" si="22"/>
        <v>830.60939515989048</v>
      </c>
      <c r="T74" s="678">
        <f t="shared" si="22"/>
        <v>880</v>
      </c>
      <c r="U74" s="678">
        <f t="shared" si="22"/>
        <v>932.32752303617985</v>
      </c>
      <c r="V74" s="678">
        <f t="shared" si="22"/>
        <v>987.76660251224848</v>
      </c>
    </row>
    <row r="75" spans="1:22" x14ac:dyDescent="0.2">
      <c r="B75" s="537" t="s">
        <v>1109</v>
      </c>
    </row>
    <row r="76" spans="1:22" x14ac:dyDescent="0.2">
      <c r="B76" s="537" t="s">
        <v>1110</v>
      </c>
      <c r="C76" s="677">
        <f t="shared" ref="C76:V76" si="23">C42*C48/C74</f>
        <v>10.278266877109266</v>
      </c>
      <c r="D76" s="677">
        <f t="shared" si="23"/>
        <v>9.7013920841905232</v>
      </c>
      <c r="E76" s="677">
        <f t="shared" si="23"/>
        <v>9.1568947855209544</v>
      </c>
      <c r="F76" s="677">
        <f t="shared" si="23"/>
        <v>8.6429577719821733</v>
      </c>
      <c r="G76" s="677">
        <f t="shared" si="23"/>
        <v>8.1578658265665744</v>
      </c>
      <c r="H76" s="677">
        <f t="shared" si="23"/>
        <v>7.7</v>
      </c>
      <c r="I76" s="677">
        <f t="shared" si="23"/>
        <v>7.2678322076490396</v>
      </c>
      <c r="J76" s="677">
        <f t="shared" si="23"/>
        <v>6.8599201296806127</v>
      </c>
      <c r="K76" s="677">
        <f t="shared" si="23"/>
        <v>6.4749023974536009</v>
      </c>
      <c r="L76" s="677">
        <f t="shared" si="23"/>
        <v>6.1114940500775683</v>
      </c>
      <c r="M76" s="677">
        <f t="shared" si="23"/>
        <v>5.7684822459752239</v>
      </c>
      <c r="N76" s="677">
        <f t="shared" si="23"/>
        <v>5.4447222151364159</v>
      </c>
      <c r="O76" s="677">
        <f t="shared" si="23"/>
        <v>5.1391334385546319</v>
      </c>
      <c r="P76" s="677">
        <f t="shared" si="23"/>
        <v>4.8506960420952616</v>
      </c>
      <c r="Q76" s="677">
        <f t="shared" si="23"/>
        <v>4.5784473927604763</v>
      </c>
      <c r="R76" s="677">
        <f t="shared" si="23"/>
        <v>4.3214788859910866</v>
      </c>
      <c r="S76" s="677">
        <f t="shared" si="23"/>
        <v>4.0789329132832863</v>
      </c>
      <c r="T76" s="677">
        <f t="shared" si="23"/>
        <v>3.85</v>
      </c>
      <c r="U76" s="677">
        <f t="shared" si="23"/>
        <v>3.6339161038245198</v>
      </c>
      <c r="V76" s="677">
        <f t="shared" si="23"/>
        <v>3.4299600648403055</v>
      </c>
    </row>
    <row r="77" spans="1:22" x14ac:dyDescent="0.2">
      <c r="A77" s="604" t="s">
        <v>1140</v>
      </c>
      <c r="B77" s="537" t="s">
        <v>785</v>
      </c>
      <c r="C77" s="626" t="s">
        <v>12</v>
      </c>
      <c r="D77" s="626" t="s">
        <v>13</v>
      </c>
      <c r="E77" s="626" t="s">
        <v>14</v>
      </c>
      <c r="F77" s="626" t="s">
        <v>15</v>
      </c>
      <c r="G77" s="626" t="s">
        <v>16</v>
      </c>
      <c r="H77" s="626" t="s">
        <v>17</v>
      </c>
      <c r="I77" s="626" t="s">
        <v>18</v>
      </c>
      <c r="J77" s="626" t="s">
        <v>19</v>
      </c>
      <c r="K77" s="626" t="s">
        <v>20</v>
      </c>
      <c r="L77" s="626" t="s">
        <v>35</v>
      </c>
      <c r="M77" s="626" t="s">
        <v>210</v>
      </c>
      <c r="N77" s="626" t="s">
        <v>211</v>
      </c>
      <c r="O77" s="626" t="s">
        <v>45</v>
      </c>
      <c r="P77" s="626" t="s">
        <v>212</v>
      </c>
      <c r="Q77" s="626" t="s">
        <v>213</v>
      </c>
      <c r="R77" s="626" t="s">
        <v>725</v>
      </c>
      <c r="S77" s="626" t="s">
        <v>53</v>
      </c>
      <c r="T77" s="626" t="s">
        <v>734</v>
      </c>
      <c r="U77" s="626" t="s">
        <v>737</v>
      </c>
      <c r="V77" s="626" t="s">
        <v>214</v>
      </c>
    </row>
    <row r="78" spans="1:22" x14ac:dyDescent="0.2">
      <c r="B78" s="537" t="s">
        <v>1014</v>
      </c>
      <c r="C78" s="678">
        <f t="shared" ref="C78:V78" si="24">((2^(1/12))^(C4+14-49))*440</f>
        <v>369.99442271163434</v>
      </c>
      <c r="D78" s="678">
        <f t="shared" si="24"/>
        <v>391.99543598174927</v>
      </c>
      <c r="E78" s="678">
        <f t="shared" si="24"/>
        <v>415.30469757994513</v>
      </c>
      <c r="F78" s="678">
        <f t="shared" si="24"/>
        <v>440</v>
      </c>
      <c r="G78" s="678">
        <f t="shared" si="24"/>
        <v>466.16376151808993</v>
      </c>
      <c r="H78" s="678">
        <f t="shared" si="24"/>
        <v>493.88330125612413</v>
      </c>
      <c r="I78" s="678">
        <f t="shared" si="24"/>
        <v>523.25113060119736</v>
      </c>
      <c r="J78" s="678">
        <f t="shared" si="24"/>
        <v>554.36526195374415</v>
      </c>
      <c r="K78" s="678">
        <f t="shared" si="24"/>
        <v>587.32953583481515</v>
      </c>
      <c r="L78" s="678">
        <f t="shared" si="24"/>
        <v>622.25396744416184</v>
      </c>
      <c r="M78" s="678">
        <f t="shared" si="24"/>
        <v>659.25511382573995</v>
      </c>
      <c r="N78" s="678">
        <f t="shared" si="24"/>
        <v>698.45646286600777</v>
      </c>
      <c r="O78" s="678">
        <f t="shared" si="24"/>
        <v>739.98884542326891</v>
      </c>
      <c r="P78" s="678">
        <f t="shared" si="24"/>
        <v>783.99087196349865</v>
      </c>
      <c r="Q78" s="678">
        <f t="shared" si="24"/>
        <v>830.60939515989048</v>
      </c>
      <c r="R78" s="678">
        <f t="shared" si="24"/>
        <v>880</v>
      </c>
      <c r="S78" s="678">
        <f t="shared" si="24"/>
        <v>932.32752303617985</v>
      </c>
      <c r="T78" s="678">
        <f t="shared" si="24"/>
        <v>987.76660251224848</v>
      </c>
      <c r="U78" s="678">
        <f t="shared" si="24"/>
        <v>1046.5022612023947</v>
      </c>
      <c r="V78" s="678">
        <f t="shared" si="24"/>
        <v>1108.7305239074885</v>
      </c>
    </row>
    <row r="79" spans="1:22" x14ac:dyDescent="0.2">
      <c r="B79" s="537" t="s">
        <v>1109</v>
      </c>
    </row>
    <row r="80" spans="1:22" x14ac:dyDescent="0.2">
      <c r="B80" s="537" t="s">
        <v>1110</v>
      </c>
      <c r="C80" s="677">
        <f t="shared" ref="C80:V80" si="25">C42*C48/C78</f>
        <v>9.1568947855209544</v>
      </c>
      <c r="D80" s="677">
        <f t="shared" si="25"/>
        <v>8.6429577719821733</v>
      </c>
      <c r="E80" s="677">
        <f t="shared" si="25"/>
        <v>8.1578658265665744</v>
      </c>
      <c r="F80" s="677">
        <f t="shared" si="25"/>
        <v>7.7</v>
      </c>
      <c r="G80" s="677">
        <f t="shared" si="25"/>
        <v>7.2678322076490405</v>
      </c>
      <c r="H80" s="677">
        <f t="shared" si="25"/>
        <v>6.8599201296806127</v>
      </c>
      <c r="I80" s="677">
        <f t="shared" si="25"/>
        <v>6.4749023974536009</v>
      </c>
      <c r="J80" s="677">
        <f t="shared" si="25"/>
        <v>6.1114940500775683</v>
      </c>
      <c r="K80" s="677">
        <f t="shared" si="25"/>
        <v>5.7684822459752239</v>
      </c>
      <c r="L80" s="677">
        <f t="shared" si="25"/>
        <v>5.4447222151364159</v>
      </c>
      <c r="M80" s="677">
        <f t="shared" si="25"/>
        <v>5.1391334385546319</v>
      </c>
      <c r="N80" s="677">
        <f t="shared" si="25"/>
        <v>4.8506960420952616</v>
      </c>
      <c r="O80" s="677">
        <f t="shared" si="25"/>
        <v>4.5784473927604754</v>
      </c>
      <c r="P80" s="677">
        <f t="shared" si="25"/>
        <v>4.3214788859910858</v>
      </c>
      <c r="Q80" s="677">
        <f t="shared" si="25"/>
        <v>4.0789329132832863</v>
      </c>
      <c r="R80" s="677">
        <f t="shared" si="25"/>
        <v>3.8500000000000005</v>
      </c>
      <c r="S80" s="677">
        <f t="shared" si="25"/>
        <v>3.6339161038245202</v>
      </c>
      <c r="T80" s="677">
        <f t="shared" si="25"/>
        <v>3.4299600648403055</v>
      </c>
      <c r="U80" s="677">
        <f t="shared" si="25"/>
        <v>3.2374511987268004</v>
      </c>
      <c r="V80" s="677">
        <f t="shared" si="25"/>
        <v>3.0557470250387837</v>
      </c>
    </row>
    <row r="81" spans="1:22" x14ac:dyDescent="0.2">
      <c r="A81" s="604" t="s">
        <v>1141</v>
      </c>
      <c r="B81" s="537" t="s">
        <v>785</v>
      </c>
      <c r="C81" s="626" t="s">
        <v>13</v>
      </c>
      <c r="D81" s="626" t="s">
        <v>14</v>
      </c>
      <c r="E81" s="626" t="s">
        <v>15</v>
      </c>
      <c r="F81" s="626" t="s">
        <v>16</v>
      </c>
      <c r="G81" s="626" t="s">
        <v>17</v>
      </c>
      <c r="H81" s="626" t="s">
        <v>18</v>
      </c>
      <c r="I81" s="626" t="s">
        <v>19</v>
      </c>
      <c r="J81" s="626" t="s">
        <v>20</v>
      </c>
      <c r="K81" s="626" t="s">
        <v>35</v>
      </c>
      <c r="L81" s="626" t="s">
        <v>210</v>
      </c>
      <c r="M81" s="626" t="s">
        <v>211</v>
      </c>
      <c r="N81" s="626" t="s">
        <v>45</v>
      </c>
      <c r="O81" s="626" t="s">
        <v>212</v>
      </c>
      <c r="P81" s="626" t="s">
        <v>213</v>
      </c>
      <c r="Q81" s="626" t="s">
        <v>725</v>
      </c>
      <c r="R81" s="626" t="s">
        <v>53</v>
      </c>
      <c r="S81" s="626" t="s">
        <v>734</v>
      </c>
      <c r="T81" s="626" t="s">
        <v>737</v>
      </c>
      <c r="U81" s="626" t="s">
        <v>214</v>
      </c>
      <c r="V81" s="626" t="s">
        <v>740</v>
      </c>
    </row>
    <row r="82" spans="1:22" x14ac:dyDescent="0.2">
      <c r="B82" s="537" t="s">
        <v>1014</v>
      </c>
      <c r="C82" s="678">
        <f t="shared" ref="C82:V82" si="26">((2^(1/12))^(C4+15-49))*440</f>
        <v>391.99543598174927</v>
      </c>
      <c r="D82" s="678">
        <f t="shared" si="26"/>
        <v>415.30469757994513</v>
      </c>
      <c r="E82" s="678">
        <f t="shared" si="26"/>
        <v>440</v>
      </c>
      <c r="F82" s="678">
        <f t="shared" si="26"/>
        <v>466.16376151808993</v>
      </c>
      <c r="G82" s="678">
        <f t="shared" si="26"/>
        <v>493.88330125612413</v>
      </c>
      <c r="H82" s="678">
        <f t="shared" si="26"/>
        <v>523.25113060119736</v>
      </c>
      <c r="I82" s="678">
        <f t="shared" si="26"/>
        <v>554.36526195374415</v>
      </c>
      <c r="J82" s="678">
        <f t="shared" si="26"/>
        <v>587.32953583481515</v>
      </c>
      <c r="K82" s="678">
        <f t="shared" si="26"/>
        <v>622.25396744416184</v>
      </c>
      <c r="L82" s="678">
        <f t="shared" si="26"/>
        <v>659.25511382573995</v>
      </c>
      <c r="M82" s="678">
        <f t="shared" si="26"/>
        <v>698.45646286600777</v>
      </c>
      <c r="N82" s="678">
        <f t="shared" si="26"/>
        <v>739.98884542326891</v>
      </c>
      <c r="O82" s="678">
        <f t="shared" si="26"/>
        <v>783.99087196349865</v>
      </c>
      <c r="P82" s="678">
        <f t="shared" si="26"/>
        <v>830.60939515989048</v>
      </c>
      <c r="Q82" s="678">
        <f t="shared" si="26"/>
        <v>880</v>
      </c>
      <c r="R82" s="678">
        <f t="shared" si="26"/>
        <v>932.32752303617985</v>
      </c>
      <c r="S82" s="678">
        <f t="shared" si="26"/>
        <v>987.76660251224848</v>
      </c>
      <c r="T82" s="678">
        <f t="shared" si="26"/>
        <v>1046.5022612023947</v>
      </c>
      <c r="U82" s="678">
        <f t="shared" si="26"/>
        <v>1108.7305239074885</v>
      </c>
      <c r="V82" s="678">
        <f t="shared" si="26"/>
        <v>1174.6590716696305</v>
      </c>
    </row>
    <row r="83" spans="1:22" x14ac:dyDescent="0.2">
      <c r="B83" s="537" t="s">
        <v>1109</v>
      </c>
    </row>
    <row r="84" spans="1:22" x14ac:dyDescent="0.2">
      <c r="B84" s="537" t="s">
        <v>1110</v>
      </c>
      <c r="C84" s="677">
        <f t="shared" ref="C84:V84" si="27">C42*C48/C82</f>
        <v>8.6429577719821733</v>
      </c>
      <c r="D84" s="677">
        <f t="shared" si="27"/>
        <v>8.1578658265665744</v>
      </c>
      <c r="E84" s="677">
        <f t="shared" si="27"/>
        <v>7.7000000000000011</v>
      </c>
      <c r="F84" s="677">
        <f t="shared" si="27"/>
        <v>7.2678322076490396</v>
      </c>
      <c r="G84" s="677">
        <f t="shared" si="27"/>
        <v>6.8599201296806136</v>
      </c>
      <c r="H84" s="677">
        <f t="shared" si="27"/>
        <v>6.4749023974536009</v>
      </c>
      <c r="I84" s="677">
        <f t="shared" si="27"/>
        <v>6.1114940500775683</v>
      </c>
      <c r="J84" s="677">
        <f t="shared" si="27"/>
        <v>5.7684822459752239</v>
      </c>
      <c r="K84" s="677">
        <f t="shared" si="27"/>
        <v>5.4447222151364159</v>
      </c>
      <c r="L84" s="677">
        <f t="shared" si="27"/>
        <v>5.1391334385546319</v>
      </c>
      <c r="M84" s="677">
        <f t="shared" si="27"/>
        <v>4.8506960420952616</v>
      </c>
      <c r="N84" s="677">
        <f t="shared" si="27"/>
        <v>4.5784473927604754</v>
      </c>
      <c r="O84" s="677">
        <f t="shared" si="27"/>
        <v>4.3214788859910858</v>
      </c>
      <c r="P84" s="677">
        <f t="shared" si="27"/>
        <v>4.0789329132832854</v>
      </c>
      <c r="Q84" s="677">
        <f t="shared" si="27"/>
        <v>3.8500000000000005</v>
      </c>
      <c r="R84" s="677">
        <f t="shared" si="27"/>
        <v>3.6339161038245202</v>
      </c>
      <c r="S84" s="677">
        <f t="shared" si="27"/>
        <v>3.4299600648403059</v>
      </c>
      <c r="T84" s="677">
        <f t="shared" si="27"/>
        <v>3.2374511987268004</v>
      </c>
      <c r="U84" s="677">
        <f t="shared" si="27"/>
        <v>3.0557470250387837</v>
      </c>
      <c r="V84" s="677">
        <f t="shared" si="27"/>
        <v>2.884241122987611</v>
      </c>
    </row>
    <row r="87" spans="1:22" ht="18" x14ac:dyDescent="0.25">
      <c r="A87" s="833" t="s">
        <v>6561</v>
      </c>
    </row>
    <row r="88" spans="1:22" x14ac:dyDescent="0.2">
      <c r="A88" s="734" t="s">
        <v>6562</v>
      </c>
    </row>
    <row r="90" spans="1:22" x14ac:dyDescent="0.2">
      <c r="A90" s="609" t="s">
        <v>6324</v>
      </c>
    </row>
    <row r="91" spans="1:22" x14ac:dyDescent="0.2">
      <c r="A91" t="s">
        <v>6563</v>
      </c>
    </row>
    <row r="92" spans="1:22" x14ac:dyDescent="0.2">
      <c r="A92" s="759" t="s">
        <v>6564</v>
      </c>
    </row>
    <row r="93" spans="1:22" x14ac:dyDescent="0.2">
      <c r="A93" t="s">
        <v>6565</v>
      </c>
    </row>
    <row r="94" spans="1:22" x14ac:dyDescent="0.2">
      <c r="A94" t="s">
        <v>6566</v>
      </c>
    </row>
    <row r="96" spans="1:22" x14ac:dyDescent="0.2">
      <c r="A96" s="609" t="s">
        <v>6328</v>
      </c>
    </row>
    <row r="97" spans="1:1" x14ac:dyDescent="0.2">
      <c r="A97" t="s">
        <v>6567</v>
      </c>
    </row>
    <row r="98" spans="1:1" x14ac:dyDescent="0.2">
      <c r="A98" t="s">
        <v>6568</v>
      </c>
    </row>
    <row r="99" spans="1:1" x14ac:dyDescent="0.2">
      <c r="A99" t="s">
        <v>6569</v>
      </c>
    </row>
    <row r="100" spans="1:1" x14ac:dyDescent="0.2">
      <c r="A100" t="s">
        <v>6570</v>
      </c>
    </row>
    <row r="102" spans="1:1" x14ac:dyDescent="0.2">
      <c r="A102" s="609" t="s">
        <v>6287</v>
      </c>
    </row>
    <row r="103" spans="1:1" x14ac:dyDescent="0.2">
      <c r="A103" t="s">
        <v>6571</v>
      </c>
    </row>
    <row r="104" spans="1:1" x14ac:dyDescent="0.2">
      <c r="A104" t="s">
        <v>6572</v>
      </c>
    </row>
    <row r="105" spans="1:1" x14ac:dyDescent="0.2">
      <c r="A105" t="s">
        <v>6573</v>
      </c>
    </row>
    <row r="107" spans="1:1" x14ac:dyDescent="0.2">
      <c r="A107" s="609" t="s">
        <v>6420</v>
      </c>
    </row>
    <row r="108" spans="1:1" x14ac:dyDescent="0.2">
      <c r="A108" t="s">
        <v>6574</v>
      </c>
    </row>
    <row r="109" spans="1:1" x14ac:dyDescent="0.2">
      <c r="A109" t="s">
        <v>6575</v>
      </c>
    </row>
    <row r="110" spans="1:1" x14ac:dyDescent="0.2">
      <c r="A110" t="s">
        <v>6576</v>
      </c>
    </row>
    <row r="111" spans="1:1" x14ac:dyDescent="0.2">
      <c r="A111" t="s">
        <v>6577</v>
      </c>
    </row>
    <row r="113" spans="1:1" x14ac:dyDescent="0.2">
      <c r="A113" s="609" t="s">
        <v>6455</v>
      </c>
    </row>
    <row r="114" spans="1:1" x14ac:dyDescent="0.2">
      <c r="A114" t="s">
        <v>6578</v>
      </c>
    </row>
    <row r="115" spans="1:1" x14ac:dyDescent="0.2">
      <c r="A115" t="s">
        <v>6579</v>
      </c>
    </row>
    <row r="117" spans="1:1" x14ac:dyDescent="0.2">
      <c r="A117" s="609" t="s">
        <v>6458</v>
      </c>
    </row>
    <row r="118" spans="1:1" x14ac:dyDescent="0.2">
      <c r="A118" t="s">
        <v>6580</v>
      </c>
    </row>
    <row r="119" spans="1:1" x14ac:dyDescent="0.2">
      <c r="A119" t="s">
        <v>6581</v>
      </c>
    </row>
    <row r="120" spans="1:1" x14ac:dyDescent="0.2">
      <c r="A120" t="s">
        <v>6582</v>
      </c>
    </row>
    <row r="122" spans="1:1" x14ac:dyDescent="0.2">
      <c r="A122" s="609" t="s">
        <v>6528</v>
      </c>
    </row>
    <row r="123" spans="1:1" x14ac:dyDescent="0.2">
      <c r="A123" t="s">
        <v>6583</v>
      </c>
    </row>
    <row r="124" spans="1:1" x14ac:dyDescent="0.2">
      <c r="A124" t="s">
        <v>6584</v>
      </c>
    </row>
    <row r="125" spans="1:1" x14ac:dyDescent="0.2">
      <c r="A125" t="s">
        <v>6585</v>
      </c>
    </row>
    <row r="127" spans="1:1" x14ac:dyDescent="0.2">
      <c r="A127" s="609" t="s">
        <v>6467</v>
      </c>
    </row>
    <row r="128" spans="1:1" x14ac:dyDescent="0.2">
      <c r="A128" t="s">
        <v>6586</v>
      </c>
    </row>
    <row r="129" spans="1:1" x14ac:dyDescent="0.2">
      <c r="A129" t="s">
        <v>6587</v>
      </c>
    </row>
    <row r="132" spans="1:1" ht="18" x14ac:dyDescent="0.25">
      <c r="A132" s="838" t="s">
        <v>7191</v>
      </c>
    </row>
    <row r="133" spans="1:1" x14ac:dyDescent="0.2">
      <c r="A133" s="734" t="s">
        <v>7131</v>
      </c>
    </row>
    <row r="135" spans="1:1" x14ac:dyDescent="0.2">
      <c r="A135" s="839" t="s">
        <v>7132</v>
      </c>
    </row>
    <row r="136" spans="1:1" x14ac:dyDescent="0.2">
      <c r="A136" t="s">
        <v>7192</v>
      </c>
    </row>
    <row r="137" spans="1:1" x14ac:dyDescent="0.2">
      <c r="A137" t="s">
        <v>7193</v>
      </c>
    </row>
    <row r="138" spans="1:1" x14ac:dyDescent="0.2">
      <c r="A138" t="s">
        <v>7194</v>
      </c>
    </row>
    <row r="139" spans="1:1" x14ac:dyDescent="0.2">
      <c r="A139" t="s">
        <v>7195</v>
      </c>
    </row>
    <row r="140" spans="1:1" x14ac:dyDescent="0.2">
      <c r="A140" t="s">
        <v>7196</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6182D-2C3B-44D8-823F-9F37DAEE6C3F}">
  <dimension ref="A1:V105"/>
  <sheetViews>
    <sheetView workbookViewId="0">
      <pane xSplit="2" ySplit="4" topLeftCell="C5" activePane="bottomRight" state="frozen"/>
      <selection pane="topRight" activeCell="C1" sqref="C1"/>
      <selection pane="bottomLeft" activeCell="A5" sqref="A5"/>
      <selection pane="bottomRight" activeCell="E74" sqref="E74"/>
    </sheetView>
  </sheetViews>
  <sheetFormatPr defaultRowHeight="12.75" x14ac:dyDescent="0.2"/>
  <cols>
    <col min="1" max="1" width="137.140625" customWidth="1"/>
    <col min="2" max="2" width="16.85546875" bestFit="1" customWidth="1"/>
    <col min="3" max="20" width="6.5703125" bestFit="1" customWidth="1"/>
    <col min="21" max="22" width="7.5703125" bestFit="1" customWidth="1"/>
  </cols>
  <sheetData>
    <row r="1" spans="1:22" ht="18" x14ac:dyDescent="0.25">
      <c r="A1" s="470" t="s">
        <v>1146</v>
      </c>
    </row>
    <row r="2" spans="1:22" x14ac:dyDescent="0.2">
      <c r="A2" s="537" t="s">
        <v>1147</v>
      </c>
    </row>
    <row r="3" spans="1:22" x14ac:dyDescent="0.2">
      <c r="A3" s="472" t="s">
        <v>1148</v>
      </c>
      <c r="B3" s="597" t="s">
        <v>1096</v>
      </c>
      <c r="C3" s="621" t="s">
        <v>205</v>
      </c>
      <c r="D3" s="621" t="s">
        <v>206</v>
      </c>
      <c r="E3" s="621" t="s">
        <v>207</v>
      </c>
      <c r="F3" s="621" t="s">
        <v>208</v>
      </c>
      <c r="G3" s="621" t="s">
        <v>209</v>
      </c>
      <c r="H3" s="621" t="s">
        <v>6</v>
      </c>
      <c r="I3" s="621" t="s">
        <v>7</v>
      </c>
      <c r="J3" s="621" t="s">
        <v>8</v>
      </c>
      <c r="K3" s="621" t="s">
        <v>9</v>
      </c>
      <c r="L3" s="621" t="s">
        <v>10</v>
      </c>
      <c r="M3" s="621" t="s">
        <v>240</v>
      </c>
      <c r="N3" s="621" t="s">
        <v>12</v>
      </c>
      <c r="O3" s="621" t="s">
        <v>13</v>
      </c>
      <c r="P3" s="621" t="s">
        <v>14</v>
      </c>
      <c r="Q3" s="621" t="s">
        <v>15</v>
      </c>
      <c r="R3" s="621" t="s">
        <v>16</v>
      </c>
      <c r="S3" s="621" t="s">
        <v>17</v>
      </c>
      <c r="T3" s="621" t="s">
        <v>18</v>
      </c>
      <c r="U3" s="621" t="s">
        <v>19</v>
      </c>
      <c r="V3" s="621" t="s">
        <v>20</v>
      </c>
    </row>
    <row r="4" spans="1:22" x14ac:dyDescent="0.2">
      <c r="A4" s="472" t="s">
        <v>1013</v>
      </c>
      <c r="B4" s="597" t="s">
        <v>1096</v>
      </c>
      <c r="C4" s="611">
        <v>35</v>
      </c>
      <c r="D4" s="611">
        <v>36</v>
      </c>
      <c r="E4" s="611">
        <v>37</v>
      </c>
      <c r="F4" s="611">
        <v>38</v>
      </c>
      <c r="G4" s="611">
        <v>39</v>
      </c>
      <c r="H4" s="611">
        <v>40</v>
      </c>
      <c r="I4" s="611">
        <v>41</v>
      </c>
      <c r="J4" s="611">
        <v>42</v>
      </c>
      <c r="K4" s="611">
        <v>43</v>
      </c>
      <c r="L4" s="611">
        <v>44</v>
      </c>
      <c r="M4" s="611">
        <v>45</v>
      </c>
      <c r="N4" s="611">
        <v>46</v>
      </c>
      <c r="O4" s="611">
        <v>47</v>
      </c>
      <c r="P4" s="611">
        <v>48</v>
      </c>
      <c r="Q4" s="611">
        <v>49</v>
      </c>
      <c r="R4" s="611">
        <v>50</v>
      </c>
      <c r="S4" s="611">
        <v>51</v>
      </c>
      <c r="T4" s="611">
        <v>52</v>
      </c>
      <c r="U4" s="611">
        <v>53</v>
      </c>
      <c r="V4" s="611">
        <v>54</v>
      </c>
    </row>
    <row r="6" spans="1:22" ht="15" x14ac:dyDescent="0.25">
      <c r="A6" s="599" t="s">
        <v>1149</v>
      </c>
      <c r="B6" s="606"/>
      <c r="C6" s="606"/>
      <c r="D6" s="606"/>
      <c r="E6" s="606"/>
      <c r="F6" s="606"/>
      <c r="G6" s="606"/>
      <c r="H6" s="606"/>
      <c r="I6" s="606"/>
      <c r="J6" s="606"/>
      <c r="K6" s="606"/>
      <c r="L6" s="606"/>
      <c r="M6" s="606"/>
      <c r="N6" s="606"/>
      <c r="O6" s="606"/>
      <c r="P6" s="606"/>
      <c r="Q6" s="606"/>
      <c r="R6" s="606"/>
      <c r="S6" s="606"/>
      <c r="T6" s="606"/>
      <c r="U6" s="606"/>
      <c r="V6" s="606"/>
    </row>
    <row r="7" spans="1:22" x14ac:dyDescent="0.2">
      <c r="A7" s="472" t="s">
        <v>1024</v>
      </c>
      <c r="C7" s="622">
        <v>1.125</v>
      </c>
      <c r="D7" s="622">
        <v>1.125</v>
      </c>
      <c r="E7" s="622">
        <v>1.125</v>
      </c>
      <c r="F7" s="622">
        <v>1.125</v>
      </c>
      <c r="G7" s="622">
        <v>1</v>
      </c>
      <c r="H7" s="622">
        <v>1</v>
      </c>
      <c r="I7" s="622">
        <v>1</v>
      </c>
      <c r="J7" s="622">
        <v>1</v>
      </c>
      <c r="K7" s="622">
        <v>0.875</v>
      </c>
      <c r="L7" s="622">
        <v>0.875</v>
      </c>
      <c r="M7" s="622">
        <v>0.875</v>
      </c>
      <c r="N7" s="622">
        <v>0.875</v>
      </c>
      <c r="O7" s="622">
        <v>0.75</v>
      </c>
      <c r="P7" s="622">
        <v>0.75</v>
      </c>
      <c r="Q7" s="622">
        <v>0.75</v>
      </c>
      <c r="R7" s="622">
        <v>0.75</v>
      </c>
      <c r="S7" s="622">
        <v>0.625</v>
      </c>
      <c r="T7" s="622">
        <v>0.625</v>
      </c>
      <c r="U7" s="622">
        <v>0.625</v>
      </c>
      <c r="V7" s="622">
        <v>0.625</v>
      </c>
    </row>
    <row r="8" spans="1:22" x14ac:dyDescent="0.2">
      <c r="A8" s="472" t="s">
        <v>226</v>
      </c>
      <c r="C8" s="622">
        <v>0.25</v>
      </c>
      <c r="D8" s="622">
        <v>0.25</v>
      </c>
      <c r="E8" s="622">
        <v>0.25</v>
      </c>
      <c r="F8" s="622">
        <v>0.25</v>
      </c>
      <c r="G8" s="622">
        <v>0.25</v>
      </c>
      <c r="H8" s="622">
        <v>0.25</v>
      </c>
      <c r="I8" s="622">
        <v>0.25</v>
      </c>
      <c r="J8" s="622">
        <v>0.25</v>
      </c>
      <c r="K8" s="622">
        <v>0.1875</v>
      </c>
      <c r="L8" s="622">
        <v>0.1875</v>
      </c>
      <c r="M8" s="622">
        <v>0.1875</v>
      </c>
      <c r="N8" s="622">
        <v>0.1875</v>
      </c>
      <c r="O8" s="622">
        <v>0.1875</v>
      </c>
      <c r="P8" s="622">
        <v>0.1875</v>
      </c>
      <c r="Q8" s="622">
        <v>0.1875</v>
      </c>
      <c r="R8" s="622">
        <v>0.1875</v>
      </c>
      <c r="S8" s="622">
        <v>0.1875</v>
      </c>
      <c r="T8" s="622">
        <v>0.1875</v>
      </c>
      <c r="U8" s="622">
        <v>0.1875</v>
      </c>
      <c r="V8" s="622">
        <v>0.1875</v>
      </c>
    </row>
    <row r="9" spans="1:22" x14ac:dyDescent="0.2">
      <c r="A9" s="472" t="s">
        <v>216</v>
      </c>
      <c r="C9" s="622">
        <f t="shared" ref="C9:V9" si="0">C7+2*C8</f>
        <v>1.625</v>
      </c>
      <c r="D9" s="622">
        <f t="shared" si="0"/>
        <v>1.625</v>
      </c>
      <c r="E9" s="622">
        <f t="shared" si="0"/>
        <v>1.625</v>
      </c>
      <c r="F9" s="622">
        <f t="shared" si="0"/>
        <v>1.625</v>
      </c>
      <c r="G9" s="622">
        <f t="shared" si="0"/>
        <v>1.5</v>
      </c>
      <c r="H9" s="622">
        <f t="shared" si="0"/>
        <v>1.5</v>
      </c>
      <c r="I9" s="622">
        <f t="shared" si="0"/>
        <v>1.5</v>
      </c>
      <c r="J9" s="622">
        <f t="shared" si="0"/>
        <v>1.5</v>
      </c>
      <c r="K9" s="622">
        <f t="shared" si="0"/>
        <v>1.25</v>
      </c>
      <c r="L9" s="622">
        <f t="shared" si="0"/>
        <v>1.25</v>
      </c>
      <c r="M9" s="622">
        <f t="shared" si="0"/>
        <v>1.25</v>
      </c>
      <c r="N9" s="622">
        <f t="shared" si="0"/>
        <v>1.25</v>
      </c>
      <c r="O9" s="622">
        <f t="shared" si="0"/>
        <v>1.125</v>
      </c>
      <c r="P9" s="622">
        <f t="shared" si="0"/>
        <v>1.125</v>
      </c>
      <c r="Q9" s="622">
        <f t="shared" si="0"/>
        <v>1.125</v>
      </c>
      <c r="R9" s="622">
        <f t="shared" si="0"/>
        <v>1.125</v>
      </c>
      <c r="S9" s="622">
        <f t="shared" si="0"/>
        <v>1</v>
      </c>
      <c r="T9" s="622">
        <f t="shared" si="0"/>
        <v>1</v>
      </c>
      <c r="U9" s="622">
        <f t="shared" si="0"/>
        <v>1</v>
      </c>
      <c r="V9" s="622">
        <f t="shared" si="0"/>
        <v>1</v>
      </c>
    </row>
    <row r="10" spans="1:22" x14ac:dyDescent="0.2">
      <c r="A10" s="472" t="s">
        <v>217</v>
      </c>
      <c r="C10" s="622">
        <f t="shared" ref="C10:V10" si="1">(C7+2*C8)/2</f>
        <v>0.8125</v>
      </c>
      <c r="D10" s="622">
        <f t="shared" si="1"/>
        <v>0.8125</v>
      </c>
      <c r="E10" s="622">
        <f t="shared" si="1"/>
        <v>0.8125</v>
      </c>
      <c r="F10" s="622">
        <f t="shared" si="1"/>
        <v>0.8125</v>
      </c>
      <c r="G10" s="622">
        <f t="shared" si="1"/>
        <v>0.75</v>
      </c>
      <c r="H10" s="622">
        <f t="shared" si="1"/>
        <v>0.75</v>
      </c>
      <c r="I10" s="622">
        <f t="shared" si="1"/>
        <v>0.75</v>
      </c>
      <c r="J10" s="622">
        <f t="shared" si="1"/>
        <v>0.75</v>
      </c>
      <c r="K10" s="622">
        <f t="shared" si="1"/>
        <v>0.625</v>
      </c>
      <c r="L10" s="622">
        <f t="shared" si="1"/>
        <v>0.625</v>
      </c>
      <c r="M10" s="622">
        <f t="shared" si="1"/>
        <v>0.625</v>
      </c>
      <c r="N10" s="622">
        <f t="shared" si="1"/>
        <v>0.625</v>
      </c>
      <c r="O10" s="622">
        <f t="shared" si="1"/>
        <v>0.5625</v>
      </c>
      <c r="P10" s="622">
        <f t="shared" si="1"/>
        <v>0.5625</v>
      </c>
      <c r="Q10" s="622">
        <f t="shared" si="1"/>
        <v>0.5625</v>
      </c>
      <c r="R10" s="622">
        <f t="shared" si="1"/>
        <v>0.5625</v>
      </c>
      <c r="S10" s="622">
        <f t="shared" si="1"/>
        <v>0.5</v>
      </c>
      <c r="T10" s="622">
        <f t="shared" si="1"/>
        <v>0.5</v>
      </c>
      <c r="U10" s="622">
        <f t="shared" si="1"/>
        <v>0.5</v>
      </c>
      <c r="V10" s="622">
        <f t="shared" si="1"/>
        <v>0.5</v>
      </c>
    </row>
    <row r="11" spans="1:22" x14ac:dyDescent="0.2">
      <c r="A11" s="472" t="s">
        <v>223</v>
      </c>
      <c r="C11" s="623">
        <v>2.5</v>
      </c>
      <c r="D11" s="623">
        <v>2.5</v>
      </c>
      <c r="E11" s="623">
        <v>2.5</v>
      </c>
      <c r="F11" s="623">
        <v>2.5</v>
      </c>
      <c r="G11" s="623">
        <v>2.5</v>
      </c>
      <c r="H11" s="623">
        <v>2.5</v>
      </c>
      <c r="I11" s="623">
        <v>2.5</v>
      </c>
      <c r="J11" s="623">
        <v>2.5</v>
      </c>
      <c r="K11" s="623">
        <v>2.5</v>
      </c>
      <c r="L11" s="623">
        <v>2.5</v>
      </c>
      <c r="M11" s="623">
        <v>2.5</v>
      </c>
      <c r="N11" s="623">
        <v>2.5</v>
      </c>
      <c r="O11" s="623">
        <v>2.5</v>
      </c>
      <c r="P11" s="623">
        <v>2.5</v>
      </c>
      <c r="Q11" s="623">
        <v>2.5</v>
      </c>
      <c r="R11" s="623">
        <v>2.5</v>
      </c>
      <c r="S11" s="623">
        <v>2.5</v>
      </c>
      <c r="T11" s="623">
        <v>2.5</v>
      </c>
      <c r="U11" s="623">
        <v>2.5</v>
      </c>
      <c r="V11" s="623">
        <v>2.5</v>
      </c>
    </row>
    <row r="12" spans="1:22" x14ac:dyDescent="0.2">
      <c r="A12" s="472" t="s">
        <v>968</v>
      </c>
      <c r="C12" s="622">
        <f t="shared" ref="C12:V12" si="2">C7*0.8</f>
        <v>0.9</v>
      </c>
      <c r="D12" s="622">
        <f t="shared" si="2"/>
        <v>0.9</v>
      </c>
      <c r="E12" s="622">
        <f t="shared" si="2"/>
        <v>0.9</v>
      </c>
      <c r="F12" s="622">
        <f t="shared" si="2"/>
        <v>0.9</v>
      </c>
      <c r="G12" s="622">
        <f t="shared" si="2"/>
        <v>0.8</v>
      </c>
      <c r="H12" s="622">
        <f t="shared" si="2"/>
        <v>0.8</v>
      </c>
      <c r="I12" s="622">
        <f t="shared" si="2"/>
        <v>0.8</v>
      </c>
      <c r="J12" s="622">
        <f t="shared" si="2"/>
        <v>0.8</v>
      </c>
      <c r="K12" s="622">
        <f t="shared" si="2"/>
        <v>0.70000000000000007</v>
      </c>
      <c r="L12" s="622">
        <f t="shared" si="2"/>
        <v>0.70000000000000007</v>
      </c>
      <c r="M12" s="622">
        <f t="shared" si="2"/>
        <v>0.70000000000000007</v>
      </c>
      <c r="N12" s="622">
        <f t="shared" si="2"/>
        <v>0.70000000000000007</v>
      </c>
      <c r="O12" s="622">
        <f t="shared" si="2"/>
        <v>0.60000000000000009</v>
      </c>
      <c r="P12" s="622">
        <f t="shared" si="2"/>
        <v>0.60000000000000009</v>
      </c>
      <c r="Q12" s="622">
        <f t="shared" si="2"/>
        <v>0.60000000000000009</v>
      </c>
      <c r="R12" s="622">
        <f t="shared" si="2"/>
        <v>0.60000000000000009</v>
      </c>
      <c r="S12" s="622">
        <f t="shared" si="2"/>
        <v>0.5</v>
      </c>
      <c r="T12" s="622">
        <f t="shared" si="2"/>
        <v>0.5</v>
      </c>
      <c r="U12" s="622">
        <f t="shared" si="2"/>
        <v>0.5</v>
      </c>
      <c r="V12" s="622">
        <f t="shared" si="2"/>
        <v>0.5</v>
      </c>
    </row>
    <row r="13" spans="1:22" x14ac:dyDescent="0.2">
      <c r="A13" s="472" t="s">
        <v>1150</v>
      </c>
      <c r="C13" s="622">
        <v>0.1</v>
      </c>
      <c r="D13" s="622">
        <v>0.1</v>
      </c>
      <c r="E13" s="622">
        <v>0.1</v>
      </c>
      <c r="F13" s="622">
        <v>0.1</v>
      </c>
      <c r="G13" s="622">
        <v>0.1</v>
      </c>
      <c r="H13" s="622">
        <v>0.1</v>
      </c>
      <c r="I13" s="622">
        <v>0.1</v>
      </c>
      <c r="J13" s="622">
        <v>0.1</v>
      </c>
      <c r="K13" s="622">
        <v>0.1</v>
      </c>
      <c r="L13" s="622">
        <v>0.1</v>
      </c>
      <c r="M13" s="622">
        <v>0.1</v>
      </c>
      <c r="N13" s="622">
        <v>0.1</v>
      </c>
      <c r="O13" s="622">
        <v>0.1</v>
      </c>
      <c r="P13" s="622">
        <v>0.1</v>
      </c>
      <c r="Q13" s="622">
        <v>0.1</v>
      </c>
      <c r="R13" s="622">
        <v>0.1</v>
      </c>
      <c r="S13" s="622">
        <v>0.1</v>
      </c>
      <c r="T13" s="622">
        <v>0.1</v>
      </c>
      <c r="U13" s="622">
        <v>0.1</v>
      </c>
      <c r="V13" s="622">
        <v>0.1</v>
      </c>
    </row>
    <row r="15" spans="1:22" ht="15" x14ac:dyDescent="0.25">
      <c r="A15" s="600" t="s">
        <v>1151</v>
      </c>
      <c r="B15" s="485"/>
      <c r="C15" s="485"/>
      <c r="D15" s="485"/>
      <c r="E15" s="485"/>
      <c r="F15" s="485"/>
      <c r="G15" s="485"/>
      <c r="H15" s="485"/>
      <c r="I15" s="485"/>
      <c r="J15" s="485"/>
      <c r="K15" s="485"/>
      <c r="L15" s="485"/>
      <c r="M15" s="485"/>
      <c r="N15" s="485"/>
      <c r="O15" s="485"/>
      <c r="P15" s="485"/>
      <c r="Q15" s="485"/>
      <c r="R15" s="485"/>
      <c r="S15" s="485"/>
      <c r="T15" s="485"/>
      <c r="U15" s="485"/>
      <c r="V15" s="485"/>
    </row>
    <row r="16" spans="1:22" x14ac:dyDescent="0.2">
      <c r="A16" s="472" t="s">
        <v>1152</v>
      </c>
      <c r="C16" s="624">
        <f t="shared" ref="C16:V16" si="3">C28*0.6</f>
        <v>20.743098652757215</v>
      </c>
      <c r="D16" s="624">
        <f t="shared" si="3"/>
        <v>19.578877983759778</v>
      </c>
      <c r="E16" s="624">
        <f t="shared" si="3"/>
        <v>18.48</v>
      </c>
      <c r="F16" s="624">
        <f t="shared" si="3"/>
        <v>17.4427972983577</v>
      </c>
      <c r="G16" s="624">
        <f t="shared" si="3"/>
        <v>16.463808311233471</v>
      </c>
      <c r="H16" s="624">
        <f t="shared" si="3"/>
        <v>15.539765753888645</v>
      </c>
      <c r="I16" s="624">
        <f t="shared" si="3"/>
        <v>14.667585720186164</v>
      </c>
      <c r="J16" s="624">
        <f t="shared" si="3"/>
        <v>13.844357390340539</v>
      </c>
      <c r="K16" s="624">
        <f t="shared" si="3"/>
        <v>13.067333316327399</v>
      </c>
      <c r="L16" s="624">
        <f t="shared" si="3"/>
        <v>12.333920252531119</v>
      </c>
      <c r="M16" s="624">
        <f t="shared" si="3"/>
        <v>11.641670501028628</v>
      </c>
      <c r="N16" s="624">
        <f t="shared" si="3"/>
        <v>10.988273742625145</v>
      </c>
      <c r="O16" s="624">
        <f t="shared" si="3"/>
        <v>10.371549326378608</v>
      </c>
      <c r="P16" s="624">
        <f t="shared" si="3"/>
        <v>9.789438991879889</v>
      </c>
      <c r="Q16" s="624">
        <f t="shared" si="3"/>
        <v>9.24</v>
      </c>
      <c r="R16" s="624">
        <f t="shared" si="3"/>
        <v>8.7213986491788464</v>
      </c>
      <c r="S16" s="624">
        <f t="shared" si="3"/>
        <v>8.2319041556167356</v>
      </c>
      <c r="T16" s="624">
        <f t="shared" si="3"/>
        <v>7.7698828769443207</v>
      </c>
      <c r="U16" s="624">
        <f t="shared" si="3"/>
        <v>7.333792860093082</v>
      </c>
      <c r="V16" s="624">
        <f t="shared" si="3"/>
        <v>6.9221786951702686</v>
      </c>
    </row>
    <row r="17" spans="1:22" x14ac:dyDescent="0.2">
      <c r="A17" s="472" t="s">
        <v>1153</v>
      </c>
      <c r="C17" s="625">
        <v>0.375</v>
      </c>
      <c r="D17" s="625">
        <v>0.375</v>
      </c>
      <c r="E17" s="625">
        <v>0.375</v>
      </c>
      <c r="F17" s="625">
        <v>0.375</v>
      </c>
      <c r="G17" s="625">
        <v>0.375</v>
      </c>
      <c r="H17" s="625">
        <v>0.375</v>
      </c>
      <c r="I17" s="625">
        <v>0.375</v>
      </c>
      <c r="J17" s="625">
        <v>0.375</v>
      </c>
      <c r="K17" s="625">
        <v>0.375</v>
      </c>
      <c r="L17" s="625">
        <v>0.375</v>
      </c>
      <c r="M17" s="625">
        <v>0.375</v>
      </c>
      <c r="N17" s="625">
        <v>0.375</v>
      </c>
      <c r="O17" s="625">
        <v>0.375</v>
      </c>
      <c r="P17" s="625">
        <v>0.375</v>
      </c>
      <c r="Q17" s="625">
        <v>0.375</v>
      </c>
      <c r="R17" s="625">
        <v>0.375</v>
      </c>
      <c r="S17" s="625">
        <v>0.375</v>
      </c>
      <c r="T17" s="625">
        <v>0.375</v>
      </c>
      <c r="U17" s="625">
        <v>0.375</v>
      </c>
      <c r="V17" s="625">
        <v>0.375</v>
      </c>
    </row>
    <row r="18" spans="1:22" x14ac:dyDescent="0.2">
      <c r="A18" s="472" t="s">
        <v>1154</v>
      </c>
      <c r="C18" s="625">
        <v>0.125</v>
      </c>
      <c r="D18" s="625">
        <v>0.125</v>
      </c>
      <c r="E18" s="625">
        <v>0.125</v>
      </c>
      <c r="F18" s="625">
        <v>0.125</v>
      </c>
      <c r="G18" s="625">
        <v>0.125</v>
      </c>
      <c r="H18" s="625">
        <v>0.125</v>
      </c>
      <c r="I18" s="625">
        <v>0.125</v>
      </c>
      <c r="J18" s="625">
        <v>0.125</v>
      </c>
      <c r="K18" s="625">
        <v>0.125</v>
      </c>
      <c r="L18" s="625">
        <v>0.125</v>
      </c>
      <c r="M18" s="625">
        <v>0.125</v>
      </c>
      <c r="N18" s="625">
        <v>0.125</v>
      </c>
      <c r="O18" s="625">
        <v>0.125</v>
      </c>
      <c r="P18" s="625">
        <v>0.125</v>
      </c>
      <c r="Q18" s="625">
        <v>0.125</v>
      </c>
      <c r="R18" s="625">
        <v>0.125</v>
      </c>
      <c r="S18" s="625">
        <v>0.125</v>
      </c>
      <c r="T18" s="625">
        <v>0.125</v>
      </c>
      <c r="U18" s="625">
        <v>0.125</v>
      </c>
      <c r="V18" s="625">
        <v>0.125</v>
      </c>
    </row>
    <row r="19" spans="1:22" x14ac:dyDescent="0.2">
      <c r="A19" s="472" t="s">
        <v>1155</v>
      </c>
      <c r="C19" s="624">
        <f t="shared" ref="C19:V19" si="4">C28+C16*0.3</f>
        <v>40.794760683755854</v>
      </c>
      <c r="D19" s="624">
        <f t="shared" si="4"/>
        <v>38.505126701394232</v>
      </c>
      <c r="E19" s="624">
        <f t="shared" si="4"/>
        <v>36.344000000000001</v>
      </c>
      <c r="F19" s="624">
        <f t="shared" si="4"/>
        <v>34.304168020103475</v>
      </c>
      <c r="G19" s="624">
        <f t="shared" si="4"/>
        <v>32.378823012092496</v>
      </c>
      <c r="H19" s="624">
        <f t="shared" si="4"/>
        <v>30.561539315981005</v>
      </c>
      <c r="I19" s="624">
        <f t="shared" si="4"/>
        <v>28.846251916366121</v>
      </c>
      <c r="J19" s="624">
        <f t="shared" si="4"/>
        <v>27.227236201003059</v>
      </c>
      <c r="K19" s="624">
        <f t="shared" si="4"/>
        <v>25.699088855443886</v>
      </c>
      <c r="L19" s="624">
        <f t="shared" si="4"/>
        <v>24.256709829977865</v>
      </c>
      <c r="M19" s="624">
        <f t="shared" si="4"/>
        <v>22.895285318689634</v>
      </c>
      <c r="N19" s="624">
        <f t="shared" si="4"/>
        <v>21.610271693829453</v>
      </c>
      <c r="O19" s="624">
        <f t="shared" si="4"/>
        <v>20.397380341877927</v>
      </c>
      <c r="P19" s="624">
        <f t="shared" si="4"/>
        <v>19.252563350697116</v>
      </c>
      <c r="Q19" s="624">
        <f t="shared" si="4"/>
        <v>18.172000000000001</v>
      </c>
      <c r="R19" s="624">
        <f t="shared" si="4"/>
        <v>17.152084010051734</v>
      </c>
      <c r="S19" s="624">
        <f t="shared" si="4"/>
        <v>16.189411506046245</v>
      </c>
      <c r="T19" s="624">
        <f t="shared" si="4"/>
        <v>15.280769657990497</v>
      </c>
      <c r="U19" s="624">
        <f t="shared" si="4"/>
        <v>14.423125958183061</v>
      </c>
      <c r="V19" s="624">
        <f t="shared" si="4"/>
        <v>13.613618100501528</v>
      </c>
    </row>
    <row r="21" spans="1:22" ht="15" x14ac:dyDescent="0.25">
      <c r="A21" s="601" t="s">
        <v>1156</v>
      </c>
      <c r="B21" s="608"/>
      <c r="C21" s="608"/>
      <c r="D21" s="608"/>
      <c r="E21" s="608"/>
      <c r="F21" s="608"/>
      <c r="G21" s="608"/>
      <c r="H21" s="608"/>
      <c r="I21" s="608"/>
      <c r="J21" s="608"/>
      <c r="K21" s="608"/>
      <c r="L21" s="608"/>
      <c r="M21" s="608"/>
      <c r="N21" s="608"/>
      <c r="O21" s="608"/>
      <c r="P21" s="608"/>
      <c r="Q21" s="608"/>
      <c r="R21" s="608"/>
      <c r="S21" s="608"/>
      <c r="T21" s="608"/>
      <c r="U21" s="608"/>
      <c r="V21" s="608"/>
    </row>
    <row r="22" spans="1:22" x14ac:dyDescent="0.2">
      <c r="A22" s="562" t="s">
        <v>1157</v>
      </c>
      <c r="B22" s="537" t="s">
        <v>1161</v>
      </c>
      <c r="C22" s="627" t="s">
        <v>1175</v>
      </c>
      <c r="D22" s="627" t="s">
        <v>1175</v>
      </c>
      <c r="E22" s="627" t="s">
        <v>1175</v>
      </c>
      <c r="F22" s="627" t="s">
        <v>1175</v>
      </c>
      <c r="G22" s="627"/>
      <c r="H22" s="627"/>
      <c r="I22" s="627"/>
      <c r="J22" s="627"/>
      <c r="K22" s="627"/>
      <c r="L22" s="627"/>
      <c r="M22" s="627"/>
      <c r="N22" s="627"/>
      <c r="O22" s="627"/>
      <c r="P22" s="627"/>
      <c r="Q22" s="627"/>
      <c r="R22" s="627"/>
      <c r="S22" s="627"/>
      <c r="T22" s="627"/>
      <c r="U22" s="627"/>
      <c r="V22" s="627"/>
    </row>
    <row r="23" spans="1:22" x14ac:dyDescent="0.2">
      <c r="A23" s="618" t="s">
        <v>1158</v>
      </c>
      <c r="B23" s="537" t="s">
        <v>1161</v>
      </c>
      <c r="C23" s="628"/>
      <c r="D23" s="628"/>
      <c r="E23" s="628"/>
      <c r="F23" s="628"/>
      <c r="G23" s="628" t="s">
        <v>1175</v>
      </c>
      <c r="H23" s="628" t="s">
        <v>1175</v>
      </c>
      <c r="I23" s="628" t="s">
        <v>1175</v>
      </c>
      <c r="J23" s="628" t="s">
        <v>1175</v>
      </c>
      <c r="K23" s="628" t="s">
        <v>1175</v>
      </c>
      <c r="L23" s="628"/>
      <c r="M23" s="628"/>
      <c r="N23" s="628"/>
      <c r="O23" s="628"/>
      <c r="P23" s="628"/>
      <c r="Q23" s="628"/>
      <c r="R23" s="628"/>
      <c r="S23" s="628"/>
      <c r="T23" s="628"/>
      <c r="U23" s="628"/>
      <c r="V23" s="628"/>
    </row>
    <row r="24" spans="1:22" x14ac:dyDescent="0.2">
      <c r="A24" s="619" t="s">
        <v>1159</v>
      </c>
      <c r="B24" s="537" t="s">
        <v>1161</v>
      </c>
      <c r="C24" s="629"/>
      <c r="D24" s="629"/>
      <c r="E24" s="629"/>
      <c r="F24" s="629"/>
      <c r="G24" s="629"/>
      <c r="H24" s="629"/>
      <c r="I24" s="629"/>
      <c r="J24" s="629"/>
      <c r="K24" s="629"/>
      <c r="L24" s="629" t="s">
        <v>1175</v>
      </c>
      <c r="M24" s="629" t="s">
        <v>1175</v>
      </c>
      <c r="N24" s="629" t="s">
        <v>1175</v>
      </c>
      <c r="O24" s="629" t="s">
        <v>1175</v>
      </c>
      <c r="P24" s="629" t="s">
        <v>1175</v>
      </c>
      <c r="Q24" s="629"/>
      <c r="R24" s="629"/>
      <c r="S24" s="629"/>
      <c r="T24" s="629"/>
      <c r="U24" s="629"/>
      <c r="V24" s="629"/>
    </row>
    <row r="25" spans="1:22" x14ac:dyDescent="0.2">
      <c r="A25" s="620" t="s">
        <v>1160</v>
      </c>
      <c r="B25" s="537" t="s">
        <v>1161</v>
      </c>
      <c r="C25" s="630"/>
      <c r="D25" s="630"/>
      <c r="E25" s="630"/>
      <c r="F25" s="630"/>
      <c r="G25" s="630"/>
      <c r="H25" s="630"/>
      <c r="I25" s="630"/>
      <c r="J25" s="630"/>
      <c r="K25" s="630"/>
      <c r="L25" s="630"/>
      <c r="M25" s="630"/>
      <c r="N25" s="630"/>
      <c r="O25" s="630"/>
      <c r="P25" s="630"/>
      <c r="Q25" s="630" t="s">
        <v>1175</v>
      </c>
      <c r="R25" s="630" t="s">
        <v>1175</v>
      </c>
      <c r="S25" s="630" t="s">
        <v>1175</v>
      </c>
      <c r="T25" s="630" t="s">
        <v>1175</v>
      </c>
      <c r="U25" s="630" t="s">
        <v>1175</v>
      </c>
      <c r="V25" s="630" t="s">
        <v>1175</v>
      </c>
    </row>
    <row r="27" spans="1:22" ht="15" x14ac:dyDescent="0.25">
      <c r="A27" s="602" t="s">
        <v>910</v>
      </c>
      <c r="B27" s="479"/>
      <c r="C27" s="479"/>
      <c r="D27" s="479"/>
      <c r="E27" s="479"/>
      <c r="F27" s="479"/>
      <c r="G27" s="479"/>
      <c r="H27" s="479"/>
      <c r="I27" s="479"/>
      <c r="J27" s="479"/>
      <c r="K27" s="479"/>
      <c r="L27" s="479"/>
      <c r="M27" s="479"/>
      <c r="N27" s="479"/>
      <c r="O27" s="479"/>
      <c r="P27" s="479"/>
      <c r="Q27" s="479"/>
      <c r="R27" s="479"/>
      <c r="S27" s="479"/>
      <c r="T27" s="479"/>
      <c r="U27" s="479"/>
      <c r="V27" s="479"/>
    </row>
    <row r="28" spans="1:22" x14ac:dyDescent="0.2">
      <c r="A28" s="472" t="s">
        <v>1104</v>
      </c>
      <c r="C28" s="482">
        <f t="shared" ref="C28:V28" si="5">13552/(2*((2^(1/12))^(C4-49))*440)</f>
        <v>34.571831087928693</v>
      </c>
      <c r="D28" s="482">
        <f t="shared" si="5"/>
        <v>32.631463306266298</v>
      </c>
      <c r="E28" s="482">
        <f t="shared" si="5"/>
        <v>30.8</v>
      </c>
      <c r="F28" s="482">
        <f t="shared" si="5"/>
        <v>29.071328830596165</v>
      </c>
      <c r="G28" s="482">
        <f t="shared" si="5"/>
        <v>27.439680518722454</v>
      </c>
      <c r="H28" s="482">
        <f t="shared" si="5"/>
        <v>25.899609589814411</v>
      </c>
      <c r="I28" s="482">
        <f t="shared" si="5"/>
        <v>24.445976200310273</v>
      </c>
      <c r="J28" s="482">
        <f t="shared" si="5"/>
        <v>23.073928983900899</v>
      </c>
      <c r="K28" s="482">
        <f t="shared" si="5"/>
        <v>21.778888860545667</v>
      </c>
      <c r="L28" s="482">
        <f t="shared" si="5"/>
        <v>20.556533754218531</v>
      </c>
      <c r="M28" s="482">
        <f t="shared" si="5"/>
        <v>19.402784168381046</v>
      </c>
      <c r="N28" s="482">
        <f t="shared" si="5"/>
        <v>18.313789571041909</v>
      </c>
      <c r="O28" s="482">
        <f t="shared" si="5"/>
        <v>17.285915543964347</v>
      </c>
      <c r="P28" s="482">
        <f t="shared" si="5"/>
        <v>16.315731653133149</v>
      </c>
      <c r="Q28" s="482">
        <f t="shared" si="5"/>
        <v>15.4</v>
      </c>
      <c r="R28" s="482">
        <f t="shared" si="5"/>
        <v>14.535664415298079</v>
      </c>
      <c r="S28" s="482">
        <f t="shared" si="5"/>
        <v>13.719840259361225</v>
      </c>
      <c r="T28" s="482">
        <f t="shared" si="5"/>
        <v>12.949804794907202</v>
      </c>
      <c r="U28" s="482">
        <f t="shared" si="5"/>
        <v>12.222988100155137</v>
      </c>
      <c r="V28" s="482">
        <f t="shared" si="5"/>
        <v>11.536964491950448</v>
      </c>
    </row>
    <row r="29" spans="1:22" x14ac:dyDescent="0.2">
      <c r="A29" s="472" t="s">
        <v>1105</v>
      </c>
      <c r="C29" s="482">
        <f t="shared" ref="C29:V29" si="6">0.6*(C7/2)</f>
        <v>0.33749999999999997</v>
      </c>
      <c r="D29" s="482">
        <f t="shared" si="6"/>
        <v>0.33749999999999997</v>
      </c>
      <c r="E29" s="482">
        <f t="shared" si="6"/>
        <v>0.33749999999999997</v>
      </c>
      <c r="F29" s="482">
        <f t="shared" si="6"/>
        <v>0.33749999999999997</v>
      </c>
      <c r="G29" s="482">
        <f t="shared" si="6"/>
        <v>0.3</v>
      </c>
      <c r="H29" s="482">
        <f t="shared" si="6"/>
        <v>0.3</v>
      </c>
      <c r="I29" s="482">
        <f t="shared" si="6"/>
        <v>0.3</v>
      </c>
      <c r="J29" s="482">
        <f t="shared" si="6"/>
        <v>0.3</v>
      </c>
      <c r="K29" s="482">
        <f t="shared" si="6"/>
        <v>0.26250000000000001</v>
      </c>
      <c r="L29" s="482">
        <f t="shared" si="6"/>
        <v>0.26250000000000001</v>
      </c>
      <c r="M29" s="482">
        <f t="shared" si="6"/>
        <v>0.26250000000000001</v>
      </c>
      <c r="N29" s="482">
        <f t="shared" si="6"/>
        <v>0.26250000000000001</v>
      </c>
      <c r="O29" s="482">
        <f t="shared" si="6"/>
        <v>0.22499999999999998</v>
      </c>
      <c r="P29" s="482">
        <f t="shared" si="6"/>
        <v>0.22499999999999998</v>
      </c>
      <c r="Q29" s="482">
        <f t="shared" si="6"/>
        <v>0.22499999999999998</v>
      </c>
      <c r="R29" s="482">
        <f t="shared" si="6"/>
        <v>0.22499999999999998</v>
      </c>
      <c r="S29" s="482">
        <f t="shared" si="6"/>
        <v>0.1875</v>
      </c>
      <c r="T29" s="482">
        <f t="shared" si="6"/>
        <v>0.1875</v>
      </c>
      <c r="U29" s="482">
        <f t="shared" si="6"/>
        <v>0.1875</v>
      </c>
      <c r="V29" s="482">
        <f t="shared" si="6"/>
        <v>0.1875</v>
      </c>
    </row>
    <row r="31" spans="1:22" ht="15" x14ac:dyDescent="0.25">
      <c r="A31" s="603" t="s">
        <v>1162</v>
      </c>
      <c r="B31" s="610"/>
      <c r="C31" s="610"/>
      <c r="D31" s="610"/>
      <c r="E31" s="610"/>
      <c r="F31" s="610"/>
      <c r="G31" s="610"/>
      <c r="H31" s="610"/>
      <c r="I31" s="610"/>
      <c r="J31" s="610"/>
      <c r="K31" s="610"/>
      <c r="L31" s="610"/>
      <c r="M31" s="610"/>
      <c r="N31" s="610"/>
      <c r="O31" s="610"/>
      <c r="P31" s="610"/>
      <c r="Q31" s="610"/>
      <c r="R31" s="610"/>
      <c r="S31" s="610"/>
      <c r="T31" s="610"/>
      <c r="U31" s="610"/>
      <c r="V31" s="610"/>
    </row>
    <row r="32" spans="1:22" x14ac:dyDescent="0.2">
      <c r="A32" s="472" t="s">
        <v>239</v>
      </c>
      <c r="C32" s="472" t="s">
        <v>205</v>
      </c>
      <c r="D32" s="472" t="s">
        <v>206</v>
      </c>
      <c r="E32" s="472" t="s">
        <v>207</v>
      </c>
      <c r="F32" s="472" t="s">
        <v>208</v>
      </c>
      <c r="G32" s="472" t="s">
        <v>209</v>
      </c>
      <c r="H32" s="472" t="s">
        <v>6</v>
      </c>
      <c r="I32" s="472" t="s">
        <v>7</v>
      </c>
      <c r="J32" s="472" t="s">
        <v>8</v>
      </c>
      <c r="K32" s="472" t="s">
        <v>9</v>
      </c>
      <c r="L32" s="472" t="s">
        <v>10</v>
      </c>
      <c r="M32" s="472" t="s">
        <v>240</v>
      </c>
      <c r="N32" s="472" t="s">
        <v>12</v>
      </c>
      <c r="O32" s="472" t="s">
        <v>13</v>
      </c>
      <c r="P32" s="472" t="s">
        <v>14</v>
      </c>
      <c r="Q32" s="472" t="s">
        <v>15</v>
      </c>
      <c r="R32" s="472" t="s">
        <v>16</v>
      </c>
      <c r="S32" s="472" t="s">
        <v>17</v>
      </c>
      <c r="T32" s="472" t="s">
        <v>18</v>
      </c>
      <c r="U32" s="472" t="s">
        <v>19</v>
      </c>
      <c r="V32" s="472" t="s">
        <v>20</v>
      </c>
    </row>
    <row r="33" spans="1:22" x14ac:dyDescent="0.2">
      <c r="A33" s="472" t="s">
        <v>1107</v>
      </c>
      <c r="C33" s="469">
        <f t="shared" ref="C33:V33" si="7">((2^(1/12))^(C4-49))*440</f>
        <v>195.99771799087461</v>
      </c>
      <c r="D33" s="469">
        <f t="shared" si="7"/>
        <v>207.65234878997256</v>
      </c>
      <c r="E33" s="469">
        <f t="shared" si="7"/>
        <v>220</v>
      </c>
      <c r="F33" s="469">
        <f t="shared" si="7"/>
        <v>233.08188075904491</v>
      </c>
      <c r="G33" s="469">
        <f t="shared" si="7"/>
        <v>246.94165062806201</v>
      </c>
      <c r="H33" s="469">
        <f t="shared" si="7"/>
        <v>261.62556530059862</v>
      </c>
      <c r="I33" s="469">
        <f t="shared" si="7"/>
        <v>277.18263097687208</v>
      </c>
      <c r="J33" s="469">
        <f t="shared" si="7"/>
        <v>293.66476791740752</v>
      </c>
      <c r="K33" s="469">
        <f t="shared" si="7"/>
        <v>311.12698372208087</v>
      </c>
      <c r="L33" s="469">
        <f t="shared" si="7"/>
        <v>329.62755691286992</v>
      </c>
      <c r="M33" s="469">
        <f t="shared" si="7"/>
        <v>349.22823143300388</v>
      </c>
      <c r="N33" s="469">
        <f t="shared" si="7"/>
        <v>369.99442271163434</v>
      </c>
      <c r="O33" s="469">
        <f t="shared" si="7"/>
        <v>391.99543598174927</v>
      </c>
      <c r="P33" s="469">
        <f t="shared" si="7"/>
        <v>415.30469757994513</v>
      </c>
      <c r="Q33" s="469">
        <f t="shared" si="7"/>
        <v>440</v>
      </c>
      <c r="R33" s="469">
        <f t="shared" si="7"/>
        <v>466.16376151808993</v>
      </c>
      <c r="S33" s="469">
        <f t="shared" si="7"/>
        <v>493.88330125612413</v>
      </c>
      <c r="T33" s="469">
        <f t="shared" si="7"/>
        <v>523.25113060119736</v>
      </c>
      <c r="U33" s="469">
        <f t="shared" si="7"/>
        <v>554.36526195374415</v>
      </c>
      <c r="V33" s="469">
        <f t="shared" si="7"/>
        <v>587.32953583481515</v>
      </c>
    </row>
    <row r="34" spans="1:22" x14ac:dyDescent="0.2">
      <c r="A34" s="604" t="s">
        <v>1163</v>
      </c>
      <c r="B34" s="537" t="s">
        <v>785</v>
      </c>
      <c r="C34" t="s">
        <v>207</v>
      </c>
      <c r="D34" t="s">
        <v>208</v>
      </c>
      <c r="E34" t="s">
        <v>209</v>
      </c>
      <c r="F34" t="s">
        <v>6</v>
      </c>
      <c r="G34" t="s">
        <v>7</v>
      </c>
      <c r="H34" t="s">
        <v>8</v>
      </c>
      <c r="I34" t="s">
        <v>9</v>
      </c>
      <c r="J34" t="s">
        <v>10</v>
      </c>
      <c r="K34" t="s">
        <v>240</v>
      </c>
      <c r="L34" t="s">
        <v>12</v>
      </c>
      <c r="M34" t="s">
        <v>13</v>
      </c>
      <c r="N34" t="s">
        <v>14</v>
      </c>
      <c r="O34" t="s">
        <v>15</v>
      </c>
      <c r="P34" t="s">
        <v>16</v>
      </c>
      <c r="Q34" t="s">
        <v>17</v>
      </c>
      <c r="R34" t="s">
        <v>18</v>
      </c>
      <c r="S34" t="s">
        <v>19</v>
      </c>
      <c r="T34" t="s">
        <v>20</v>
      </c>
      <c r="U34" t="s">
        <v>35</v>
      </c>
      <c r="V34" t="s">
        <v>210</v>
      </c>
    </row>
    <row r="35" spans="1:22" x14ac:dyDescent="0.2">
      <c r="B35" s="537" t="s">
        <v>1014</v>
      </c>
      <c r="C35" s="469">
        <f t="shared" ref="C35:V35" si="8">((2^(1/12))^(C4+2-49))*440</f>
        <v>220</v>
      </c>
      <c r="D35" s="469">
        <f t="shared" si="8"/>
        <v>233.08188075904491</v>
      </c>
      <c r="E35" s="469">
        <f t="shared" si="8"/>
        <v>246.94165062806201</v>
      </c>
      <c r="F35" s="469">
        <f t="shared" si="8"/>
        <v>261.62556530059862</v>
      </c>
      <c r="G35" s="469">
        <f t="shared" si="8"/>
        <v>277.18263097687208</v>
      </c>
      <c r="H35" s="469">
        <f t="shared" si="8"/>
        <v>293.66476791740752</v>
      </c>
      <c r="I35" s="469">
        <f t="shared" si="8"/>
        <v>311.12698372208087</v>
      </c>
      <c r="J35" s="469">
        <f t="shared" si="8"/>
        <v>329.62755691286992</v>
      </c>
      <c r="K35" s="469">
        <f t="shared" si="8"/>
        <v>349.22823143300388</v>
      </c>
      <c r="L35" s="469">
        <f t="shared" si="8"/>
        <v>369.99442271163434</v>
      </c>
      <c r="M35" s="469">
        <f t="shared" si="8"/>
        <v>391.99543598174927</v>
      </c>
      <c r="N35" s="469">
        <f t="shared" si="8"/>
        <v>415.30469757994513</v>
      </c>
      <c r="O35" s="469">
        <f t="shared" si="8"/>
        <v>440</v>
      </c>
      <c r="P35" s="469">
        <f t="shared" si="8"/>
        <v>466.16376151808993</v>
      </c>
      <c r="Q35" s="469">
        <f t="shared" si="8"/>
        <v>493.88330125612413</v>
      </c>
      <c r="R35" s="469">
        <f t="shared" si="8"/>
        <v>523.25113060119736</v>
      </c>
      <c r="S35" s="469">
        <f t="shared" si="8"/>
        <v>554.36526195374415</v>
      </c>
      <c r="T35" s="469">
        <f t="shared" si="8"/>
        <v>587.32953583481515</v>
      </c>
      <c r="U35" s="469">
        <f t="shared" si="8"/>
        <v>622.25396744416184</v>
      </c>
      <c r="V35" s="469">
        <f t="shared" si="8"/>
        <v>659.25511382573995</v>
      </c>
    </row>
    <row r="36" spans="1:22" x14ac:dyDescent="0.2">
      <c r="B36" s="537" t="s">
        <v>1109</v>
      </c>
      <c r="C36" s="612"/>
      <c r="D36" s="612"/>
      <c r="E36" s="612"/>
      <c r="F36" s="612"/>
      <c r="G36" s="612"/>
      <c r="H36" s="612"/>
      <c r="I36" s="612"/>
      <c r="J36" s="612"/>
      <c r="K36" s="612"/>
      <c r="L36" s="612"/>
      <c r="M36" s="612"/>
      <c r="N36" s="612"/>
      <c r="O36" s="612"/>
      <c r="P36" s="612"/>
      <c r="Q36" s="612"/>
      <c r="R36" s="612"/>
      <c r="S36" s="612"/>
      <c r="T36" s="612"/>
      <c r="U36" s="612"/>
      <c r="V36" s="612"/>
    </row>
    <row r="37" spans="1:22" x14ac:dyDescent="0.2">
      <c r="B37" s="537" t="s">
        <v>1110</v>
      </c>
      <c r="C37" s="482">
        <f t="shared" ref="C37:V37" si="9">C28*C33/C35</f>
        <v>30.8</v>
      </c>
      <c r="D37" s="482">
        <f t="shared" si="9"/>
        <v>29.071328830596169</v>
      </c>
      <c r="E37" s="482">
        <f t="shared" si="9"/>
        <v>27.439680518722454</v>
      </c>
      <c r="F37" s="482">
        <f t="shared" si="9"/>
        <v>25.899609589814411</v>
      </c>
      <c r="G37" s="482">
        <f t="shared" si="9"/>
        <v>24.445976200310273</v>
      </c>
      <c r="H37" s="482">
        <f t="shared" si="9"/>
        <v>23.073928983900899</v>
      </c>
      <c r="I37" s="482">
        <f t="shared" si="9"/>
        <v>21.778888860545667</v>
      </c>
      <c r="J37" s="482">
        <f t="shared" si="9"/>
        <v>20.556533754218531</v>
      </c>
      <c r="K37" s="482">
        <f t="shared" si="9"/>
        <v>19.402784168381046</v>
      </c>
      <c r="L37" s="482">
        <f t="shared" si="9"/>
        <v>18.313789571041909</v>
      </c>
      <c r="M37" s="482">
        <f t="shared" si="9"/>
        <v>17.285915543964347</v>
      </c>
      <c r="N37" s="482">
        <f t="shared" si="9"/>
        <v>16.315731653133149</v>
      </c>
      <c r="O37" s="482">
        <f t="shared" si="9"/>
        <v>15.400000000000002</v>
      </c>
      <c r="P37" s="482">
        <f t="shared" si="9"/>
        <v>14.535664415298081</v>
      </c>
      <c r="Q37" s="482">
        <f t="shared" si="9"/>
        <v>13.719840259361225</v>
      </c>
      <c r="R37" s="482">
        <f t="shared" si="9"/>
        <v>12.949804794907202</v>
      </c>
      <c r="S37" s="482">
        <f t="shared" si="9"/>
        <v>12.222988100155137</v>
      </c>
      <c r="T37" s="482">
        <f t="shared" si="9"/>
        <v>11.536964491950448</v>
      </c>
      <c r="U37" s="482">
        <f t="shared" si="9"/>
        <v>10.889444430272832</v>
      </c>
      <c r="V37" s="482">
        <f t="shared" si="9"/>
        <v>10.278266877109264</v>
      </c>
    </row>
    <row r="38" spans="1:22" x14ac:dyDescent="0.2">
      <c r="A38" s="604" t="s">
        <v>1164</v>
      </c>
      <c r="B38" s="537" t="s">
        <v>785</v>
      </c>
      <c r="C38" t="s">
        <v>209</v>
      </c>
      <c r="D38" t="s">
        <v>6</v>
      </c>
      <c r="E38" t="s">
        <v>7</v>
      </c>
      <c r="F38" t="s">
        <v>8</v>
      </c>
      <c r="G38" t="s">
        <v>9</v>
      </c>
      <c r="H38" t="s">
        <v>10</v>
      </c>
      <c r="I38" t="s">
        <v>240</v>
      </c>
      <c r="J38" t="s">
        <v>12</v>
      </c>
      <c r="K38" t="s">
        <v>13</v>
      </c>
      <c r="L38" t="s">
        <v>14</v>
      </c>
      <c r="M38" t="s">
        <v>15</v>
      </c>
      <c r="N38" t="s">
        <v>16</v>
      </c>
      <c r="O38" t="s">
        <v>17</v>
      </c>
      <c r="P38" t="s">
        <v>18</v>
      </c>
      <c r="Q38" t="s">
        <v>19</v>
      </c>
      <c r="R38" t="s">
        <v>20</v>
      </c>
      <c r="S38" t="s">
        <v>35</v>
      </c>
      <c r="T38" t="s">
        <v>210</v>
      </c>
      <c r="U38" t="s">
        <v>211</v>
      </c>
      <c r="V38" t="s">
        <v>45</v>
      </c>
    </row>
    <row r="39" spans="1:22" x14ac:dyDescent="0.2">
      <c r="B39" s="537" t="s">
        <v>1014</v>
      </c>
      <c r="C39" s="469">
        <f t="shared" ref="C39:V39" si="10">((2^(1/12))^(C4+4-49))*440</f>
        <v>246.94165062806201</v>
      </c>
      <c r="D39" s="469">
        <f t="shared" si="10"/>
        <v>261.62556530059862</v>
      </c>
      <c r="E39" s="469">
        <f t="shared" si="10"/>
        <v>277.18263097687208</v>
      </c>
      <c r="F39" s="469">
        <f t="shared" si="10"/>
        <v>293.66476791740752</v>
      </c>
      <c r="G39" s="469">
        <f t="shared" si="10"/>
        <v>311.12698372208087</v>
      </c>
      <c r="H39" s="469">
        <f t="shared" si="10"/>
        <v>329.62755691286992</v>
      </c>
      <c r="I39" s="469">
        <f t="shared" si="10"/>
        <v>349.22823143300388</v>
      </c>
      <c r="J39" s="469">
        <f t="shared" si="10"/>
        <v>369.99442271163434</v>
      </c>
      <c r="K39" s="469">
        <f t="shared" si="10"/>
        <v>391.99543598174927</v>
      </c>
      <c r="L39" s="469">
        <f t="shared" si="10"/>
        <v>415.30469757994513</v>
      </c>
      <c r="M39" s="469">
        <f t="shared" si="10"/>
        <v>440</v>
      </c>
      <c r="N39" s="469">
        <f t="shared" si="10"/>
        <v>466.16376151808993</v>
      </c>
      <c r="O39" s="469">
        <f t="shared" si="10"/>
        <v>493.88330125612413</v>
      </c>
      <c r="P39" s="469">
        <f t="shared" si="10"/>
        <v>523.25113060119736</v>
      </c>
      <c r="Q39" s="469">
        <f t="shared" si="10"/>
        <v>554.36526195374415</v>
      </c>
      <c r="R39" s="469">
        <f t="shared" si="10"/>
        <v>587.32953583481515</v>
      </c>
      <c r="S39" s="469">
        <f t="shared" si="10"/>
        <v>622.25396744416184</v>
      </c>
      <c r="T39" s="469">
        <f t="shared" si="10"/>
        <v>659.25511382573995</v>
      </c>
      <c r="U39" s="469">
        <f t="shared" si="10"/>
        <v>698.45646286600777</v>
      </c>
      <c r="V39" s="469">
        <f t="shared" si="10"/>
        <v>739.98884542326891</v>
      </c>
    </row>
    <row r="40" spans="1:22" x14ac:dyDescent="0.2">
      <c r="B40" s="537" t="s">
        <v>1109</v>
      </c>
      <c r="C40" s="612"/>
      <c r="D40" s="612"/>
      <c r="E40" s="612"/>
      <c r="F40" s="612"/>
      <c r="G40" s="612"/>
      <c r="H40" s="612"/>
      <c r="I40" s="612"/>
      <c r="J40" s="612"/>
      <c r="K40" s="612"/>
      <c r="L40" s="612"/>
      <c r="M40" s="612"/>
      <c r="N40" s="612"/>
      <c r="O40" s="612"/>
      <c r="P40" s="612"/>
      <c r="Q40" s="612"/>
      <c r="R40" s="612"/>
      <c r="S40" s="612"/>
      <c r="T40" s="612"/>
      <c r="U40" s="612"/>
      <c r="V40" s="612"/>
    </row>
    <row r="41" spans="1:22" x14ac:dyDescent="0.2">
      <c r="B41" s="537" t="s">
        <v>1110</v>
      </c>
      <c r="C41" s="482">
        <f t="shared" ref="C41:V41" si="11">C28*C33/C39</f>
        <v>27.439680518722454</v>
      </c>
      <c r="D41" s="482">
        <f t="shared" si="11"/>
        <v>25.899609589814414</v>
      </c>
      <c r="E41" s="482">
        <f t="shared" si="11"/>
        <v>24.445976200310273</v>
      </c>
      <c r="F41" s="482">
        <f t="shared" si="11"/>
        <v>23.073928983900899</v>
      </c>
      <c r="G41" s="482">
        <f t="shared" si="11"/>
        <v>21.778888860545667</v>
      </c>
      <c r="H41" s="482">
        <f t="shared" si="11"/>
        <v>20.556533754218531</v>
      </c>
      <c r="I41" s="482">
        <f t="shared" si="11"/>
        <v>19.402784168381046</v>
      </c>
      <c r="J41" s="482">
        <f t="shared" si="11"/>
        <v>18.313789571041909</v>
      </c>
      <c r="K41" s="482">
        <f t="shared" si="11"/>
        <v>17.285915543964347</v>
      </c>
      <c r="L41" s="482">
        <f t="shared" si="11"/>
        <v>16.315731653133149</v>
      </c>
      <c r="M41" s="482">
        <f t="shared" si="11"/>
        <v>15.4</v>
      </c>
      <c r="N41" s="482">
        <f t="shared" si="11"/>
        <v>14.535664415298081</v>
      </c>
      <c r="O41" s="482">
        <f t="shared" si="11"/>
        <v>13.719840259361227</v>
      </c>
      <c r="P41" s="482">
        <f t="shared" si="11"/>
        <v>12.949804794907203</v>
      </c>
      <c r="Q41" s="482">
        <f t="shared" si="11"/>
        <v>12.222988100155137</v>
      </c>
      <c r="R41" s="482">
        <f t="shared" si="11"/>
        <v>11.536964491950448</v>
      </c>
      <c r="S41" s="482">
        <f t="shared" si="11"/>
        <v>10.889444430272832</v>
      </c>
      <c r="T41" s="482">
        <f t="shared" si="11"/>
        <v>10.278266877109264</v>
      </c>
      <c r="U41" s="482">
        <f t="shared" si="11"/>
        <v>9.7013920841905232</v>
      </c>
      <c r="V41" s="482">
        <f t="shared" si="11"/>
        <v>9.1568947855209508</v>
      </c>
    </row>
    <row r="42" spans="1:22" x14ac:dyDescent="0.2">
      <c r="A42" s="604" t="s">
        <v>1165</v>
      </c>
      <c r="B42" s="537" t="s">
        <v>785</v>
      </c>
      <c r="C42" t="s">
        <v>6</v>
      </c>
      <c r="D42" t="s">
        <v>7</v>
      </c>
      <c r="E42" t="s">
        <v>8</v>
      </c>
      <c r="F42" t="s">
        <v>9</v>
      </c>
      <c r="G42" t="s">
        <v>10</v>
      </c>
      <c r="H42" t="s">
        <v>240</v>
      </c>
      <c r="I42" t="s">
        <v>12</v>
      </c>
      <c r="J42" t="s">
        <v>13</v>
      </c>
      <c r="K42" t="s">
        <v>14</v>
      </c>
      <c r="L42" t="s">
        <v>15</v>
      </c>
      <c r="M42" t="s">
        <v>16</v>
      </c>
      <c r="N42" t="s">
        <v>17</v>
      </c>
      <c r="O42" t="s">
        <v>18</v>
      </c>
      <c r="P42" t="s">
        <v>19</v>
      </c>
      <c r="Q42" t="s">
        <v>20</v>
      </c>
      <c r="R42" t="s">
        <v>35</v>
      </c>
      <c r="S42" t="s">
        <v>210</v>
      </c>
      <c r="T42" t="s">
        <v>211</v>
      </c>
      <c r="U42" t="s">
        <v>45</v>
      </c>
      <c r="V42" t="s">
        <v>212</v>
      </c>
    </row>
    <row r="43" spans="1:22" x14ac:dyDescent="0.2">
      <c r="B43" s="537" t="s">
        <v>1014</v>
      </c>
      <c r="C43" s="469">
        <f t="shared" ref="C43:V43" si="12">((2^(1/12))^(C4+5-49))*440</f>
        <v>261.62556530059862</v>
      </c>
      <c r="D43" s="469">
        <f t="shared" si="12"/>
        <v>277.18263097687208</v>
      </c>
      <c r="E43" s="469">
        <f t="shared" si="12"/>
        <v>293.66476791740752</v>
      </c>
      <c r="F43" s="469">
        <f t="shared" si="12"/>
        <v>311.12698372208087</v>
      </c>
      <c r="G43" s="469">
        <f t="shared" si="12"/>
        <v>329.62755691286992</v>
      </c>
      <c r="H43" s="469">
        <f t="shared" si="12"/>
        <v>349.22823143300388</v>
      </c>
      <c r="I43" s="469">
        <f t="shared" si="12"/>
        <v>369.99442271163434</v>
      </c>
      <c r="J43" s="469">
        <f t="shared" si="12"/>
        <v>391.99543598174927</v>
      </c>
      <c r="K43" s="469">
        <f t="shared" si="12"/>
        <v>415.30469757994513</v>
      </c>
      <c r="L43" s="469">
        <f t="shared" si="12"/>
        <v>440</v>
      </c>
      <c r="M43" s="469">
        <f t="shared" si="12"/>
        <v>466.16376151808993</v>
      </c>
      <c r="N43" s="469">
        <f t="shared" si="12"/>
        <v>493.88330125612413</v>
      </c>
      <c r="O43" s="469">
        <f t="shared" si="12"/>
        <v>523.25113060119736</v>
      </c>
      <c r="P43" s="469">
        <f t="shared" si="12"/>
        <v>554.36526195374415</v>
      </c>
      <c r="Q43" s="469">
        <f t="shared" si="12"/>
        <v>587.32953583481515</v>
      </c>
      <c r="R43" s="469">
        <f t="shared" si="12"/>
        <v>622.25396744416184</v>
      </c>
      <c r="S43" s="469">
        <f t="shared" si="12"/>
        <v>659.25511382573995</v>
      </c>
      <c r="T43" s="469">
        <f t="shared" si="12"/>
        <v>698.45646286600777</v>
      </c>
      <c r="U43" s="469">
        <f t="shared" si="12"/>
        <v>739.98884542326891</v>
      </c>
      <c r="V43" s="469">
        <f t="shared" si="12"/>
        <v>783.99087196349865</v>
      </c>
    </row>
    <row r="44" spans="1:22" x14ac:dyDescent="0.2">
      <c r="B44" s="537" t="s">
        <v>1109</v>
      </c>
      <c r="C44" s="612"/>
      <c r="D44" s="612"/>
      <c r="E44" s="612"/>
      <c r="F44" s="612"/>
      <c r="G44" s="612"/>
      <c r="H44" s="612"/>
      <c r="I44" s="612"/>
      <c r="J44" s="612"/>
      <c r="K44" s="612"/>
      <c r="L44" s="612"/>
      <c r="M44" s="612"/>
      <c r="N44" s="612"/>
      <c r="O44" s="612"/>
      <c r="P44" s="612"/>
      <c r="Q44" s="612"/>
      <c r="R44" s="612"/>
      <c r="S44" s="612"/>
      <c r="T44" s="612"/>
      <c r="U44" s="612"/>
      <c r="V44" s="612"/>
    </row>
    <row r="45" spans="1:22" x14ac:dyDescent="0.2">
      <c r="B45" s="537" t="s">
        <v>1110</v>
      </c>
      <c r="C45" s="482">
        <f t="shared" ref="C45:V45" si="13">C28*C33/C43</f>
        <v>25.899609589814411</v>
      </c>
      <c r="D45" s="482">
        <f t="shared" si="13"/>
        <v>24.445976200310277</v>
      </c>
      <c r="E45" s="482">
        <f t="shared" si="13"/>
        <v>23.073928983900899</v>
      </c>
      <c r="F45" s="482">
        <f t="shared" si="13"/>
        <v>21.778888860545667</v>
      </c>
      <c r="G45" s="482">
        <f t="shared" si="13"/>
        <v>20.556533754218531</v>
      </c>
      <c r="H45" s="482">
        <f t="shared" si="13"/>
        <v>19.402784168381046</v>
      </c>
      <c r="I45" s="482">
        <f t="shared" si="13"/>
        <v>18.313789571041909</v>
      </c>
      <c r="J45" s="482">
        <f t="shared" si="13"/>
        <v>17.285915543964347</v>
      </c>
      <c r="K45" s="482">
        <f t="shared" si="13"/>
        <v>16.315731653133149</v>
      </c>
      <c r="L45" s="482">
        <f t="shared" si="13"/>
        <v>15.4</v>
      </c>
      <c r="M45" s="482">
        <f t="shared" si="13"/>
        <v>14.535664415298079</v>
      </c>
      <c r="N45" s="482">
        <f t="shared" si="13"/>
        <v>13.719840259361227</v>
      </c>
      <c r="O45" s="482">
        <f t="shared" si="13"/>
        <v>12.949804794907203</v>
      </c>
      <c r="P45" s="482">
        <f t="shared" si="13"/>
        <v>12.222988100155138</v>
      </c>
      <c r="Q45" s="482">
        <f t="shared" si="13"/>
        <v>11.536964491950448</v>
      </c>
      <c r="R45" s="482">
        <f t="shared" si="13"/>
        <v>10.889444430272832</v>
      </c>
      <c r="S45" s="482">
        <f t="shared" si="13"/>
        <v>10.278266877109264</v>
      </c>
      <c r="T45" s="482">
        <f t="shared" si="13"/>
        <v>9.7013920841905232</v>
      </c>
      <c r="U45" s="482">
        <f t="shared" si="13"/>
        <v>9.1568947855209508</v>
      </c>
      <c r="V45" s="482">
        <f t="shared" si="13"/>
        <v>8.6429577719821715</v>
      </c>
    </row>
    <row r="46" spans="1:22" x14ac:dyDescent="0.2">
      <c r="A46" s="604" t="s">
        <v>1166</v>
      </c>
      <c r="B46" s="537" t="s">
        <v>785</v>
      </c>
      <c r="C46" t="s">
        <v>8</v>
      </c>
      <c r="D46" t="s">
        <v>9</v>
      </c>
      <c r="E46" t="s">
        <v>10</v>
      </c>
      <c r="F46" t="s">
        <v>240</v>
      </c>
      <c r="G46" t="s">
        <v>12</v>
      </c>
      <c r="H46" t="s">
        <v>13</v>
      </c>
      <c r="I46" t="s">
        <v>14</v>
      </c>
      <c r="J46" t="s">
        <v>15</v>
      </c>
      <c r="K46" t="s">
        <v>16</v>
      </c>
      <c r="L46" t="s">
        <v>17</v>
      </c>
      <c r="M46" t="s">
        <v>18</v>
      </c>
      <c r="N46" t="s">
        <v>19</v>
      </c>
      <c r="O46" t="s">
        <v>20</v>
      </c>
      <c r="P46" t="s">
        <v>35</v>
      </c>
      <c r="Q46" t="s">
        <v>210</v>
      </c>
      <c r="R46" t="s">
        <v>211</v>
      </c>
      <c r="S46" t="s">
        <v>45</v>
      </c>
      <c r="T46" t="s">
        <v>212</v>
      </c>
      <c r="U46" t="s">
        <v>213</v>
      </c>
      <c r="V46" t="s">
        <v>725</v>
      </c>
    </row>
    <row r="47" spans="1:22" x14ac:dyDescent="0.2">
      <c r="B47" s="537" t="s">
        <v>1014</v>
      </c>
      <c r="C47" s="469">
        <f t="shared" ref="C47:V47" si="14">((2^(1/12))^(C4+7-49))*440</f>
        <v>293.66476791740752</v>
      </c>
      <c r="D47" s="469">
        <f t="shared" si="14"/>
        <v>311.12698372208087</v>
      </c>
      <c r="E47" s="469">
        <f t="shared" si="14"/>
        <v>329.62755691286992</v>
      </c>
      <c r="F47" s="469">
        <f t="shared" si="14"/>
        <v>349.22823143300388</v>
      </c>
      <c r="G47" s="469">
        <f t="shared" si="14"/>
        <v>369.99442271163434</v>
      </c>
      <c r="H47" s="469">
        <f t="shared" si="14"/>
        <v>391.99543598174927</v>
      </c>
      <c r="I47" s="469">
        <f t="shared" si="14"/>
        <v>415.30469757994513</v>
      </c>
      <c r="J47" s="469">
        <f t="shared" si="14"/>
        <v>440</v>
      </c>
      <c r="K47" s="469">
        <f t="shared" si="14"/>
        <v>466.16376151808993</v>
      </c>
      <c r="L47" s="469">
        <f t="shared" si="14"/>
        <v>493.88330125612413</v>
      </c>
      <c r="M47" s="469">
        <f t="shared" si="14"/>
        <v>523.25113060119736</v>
      </c>
      <c r="N47" s="469">
        <f t="shared" si="14"/>
        <v>554.36526195374415</v>
      </c>
      <c r="O47" s="469">
        <f t="shared" si="14"/>
        <v>587.32953583481515</v>
      </c>
      <c r="P47" s="469">
        <f t="shared" si="14"/>
        <v>622.25396744416184</v>
      </c>
      <c r="Q47" s="469">
        <f t="shared" si="14"/>
        <v>659.25511382573995</v>
      </c>
      <c r="R47" s="469">
        <f t="shared" si="14"/>
        <v>698.45646286600777</v>
      </c>
      <c r="S47" s="469">
        <f t="shared" si="14"/>
        <v>739.98884542326891</v>
      </c>
      <c r="T47" s="469">
        <f t="shared" si="14"/>
        <v>783.99087196349865</v>
      </c>
      <c r="U47" s="469">
        <f t="shared" si="14"/>
        <v>830.60939515989048</v>
      </c>
      <c r="V47" s="469">
        <f t="shared" si="14"/>
        <v>880</v>
      </c>
    </row>
    <row r="48" spans="1:22" x14ac:dyDescent="0.2">
      <c r="B48" s="537" t="s">
        <v>1109</v>
      </c>
      <c r="C48" s="612"/>
      <c r="D48" s="612"/>
      <c r="E48" s="612"/>
      <c r="F48" s="612"/>
      <c r="G48" s="612"/>
      <c r="H48" s="612"/>
      <c r="I48" s="612"/>
      <c r="J48" s="612"/>
      <c r="K48" s="612"/>
      <c r="L48" s="612"/>
      <c r="M48" s="612"/>
      <c r="N48" s="612"/>
      <c r="O48" s="612"/>
      <c r="P48" s="612"/>
      <c r="Q48" s="612"/>
      <c r="R48" s="612"/>
      <c r="S48" s="612"/>
      <c r="T48" s="612"/>
      <c r="U48" s="612"/>
      <c r="V48" s="612"/>
    </row>
    <row r="49" spans="1:22" x14ac:dyDescent="0.2">
      <c r="B49" s="537" t="s">
        <v>1110</v>
      </c>
      <c r="C49" s="482">
        <f t="shared" ref="C49:V49" si="15">C28*C33/C47</f>
        <v>23.073928983900899</v>
      </c>
      <c r="D49" s="482">
        <f t="shared" si="15"/>
        <v>21.778888860545671</v>
      </c>
      <c r="E49" s="482">
        <f t="shared" si="15"/>
        <v>20.556533754218531</v>
      </c>
      <c r="F49" s="482">
        <f t="shared" si="15"/>
        <v>19.402784168381046</v>
      </c>
      <c r="G49" s="482">
        <f t="shared" si="15"/>
        <v>18.313789571041909</v>
      </c>
      <c r="H49" s="482">
        <f t="shared" si="15"/>
        <v>17.285915543964347</v>
      </c>
      <c r="I49" s="482">
        <f t="shared" si="15"/>
        <v>16.315731653133149</v>
      </c>
      <c r="J49" s="482">
        <f t="shared" si="15"/>
        <v>15.4</v>
      </c>
      <c r="K49" s="482">
        <f t="shared" si="15"/>
        <v>14.535664415298079</v>
      </c>
      <c r="L49" s="482">
        <f t="shared" si="15"/>
        <v>13.719840259361225</v>
      </c>
      <c r="M49" s="482">
        <f t="shared" si="15"/>
        <v>12.949804794907202</v>
      </c>
      <c r="N49" s="482">
        <f t="shared" si="15"/>
        <v>12.222988100155138</v>
      </c>
      <c r="O49" s="482">
        <f t="shared" si="15"/>
        <v>11.536964491950448</v>
      </c>
      <c r="P49" s="482">
        <f t="shared" si="15"/>
        <v>10.889444430272833</v>
      </c>
      <c r="Q49" s="482">
        <f t="shared" si="15"/>
        <v>10.278266877109264</v>
      </c>
      <c r="R49" s="482">
        <f t="shared" si="15"/>
        <v>9.7013920841905232</v>
      </c>
      <c r="S49" s="482">
        <f t="shared" si="15"/>
        <v>9.1568947855209508</v>
      </c>
      <c r="T49" s="482">
        <f t="shared" si="15"/>
        <v>8.6429577719821715</v>
      </c>
      <c r="U49" s="482">
        <f t="shared" si="15"/>
        <v>8.1578658265665709</v>
      </c>
      <c r="V49" s="482">
        <f t="shared" si="15"/>
        <v>7.7</v>
      </c>
    </row>
    <row r="50" spans="1:22" x14ac:dyDescent="0.2">
      <c r="A50" s="604" t="s">
        <v>1167</v>
      </c>
      <c r="B50" s="537" t="s">
        <v>785</v>
      </c>
      <c r="C50" t="s">
        <v>10</v>
      </c>
      <c r="D50" t="s">
        <v>240</v>
      </c>
      <c r="E50" t="s">
        <v>12</v>
      </c>
      <c r="F50" t="s">
        <v>13</v>
      </c>
      <c r="G50" t="s">
        <v>14</v>
      </c>
      <c r="H50" t="s">
        <v>15</v>
      </c>
      <c r="I50" t="s">
        <v>16</v>
      </c>
      <c r="J50" t="s">
        <v>17</v>
      </c>
      <c r="K50" t="s">
        <v>18</v>
      </c>
      <c r="L50" t="s">
        <v>19</v>
      </c>
      <c r="M50" t="s">
        <v>20</v>
      </c>
      <c r="N50" t="s">
        <v>35</v>
      </c>
      <c r="O50" t="s">
        <v>210</v>
      </c>
      <c r="P50" t="s">
        <v>211</v>
      </c>
      <c r="Q50" t="s">
        <v>45</v>
      </c>
      <c r="R50" t="s">
        <v>212</v>
      </c>
      <c r="S50" t="s">
        <v>213</v>
      </c>
      <c r="T50" t="s">
        <v>725</v>
      </c>
      <c r="U50" t="s">
        <v>53</v>
      </c>
      <c r="V50" t="s">
        <v>734</v>
      </c>
    </row>
    <row r="51" spans="1:22" x14ac:dyDescent="0.2">
      <c r="B51" s="537" t="s">
        <v>1014</v>
      </c>
      <c r="C51" s="469">
        <f t="shared" ref="C51:V51" si="16">((2^(1/12))^(C4+9-49))*440</f>
        <v>329.62755691286992</v>
      </c>
      <c r="D51" s="469">
        <f t="shared" si="16"/>
        <v>349.22823143300388</v>
      </c>
      <c r="E51" s="469">
        <f t="shared" si="16"/>
        <v>369.99442271163434</v>
      </c>
      <c r="F51" s="469">
        <f t="shared" si="16"/>
        <v>391.99543598174927</v>
      </c>
      <c r="G51" s="469">
        <f t="shared" si="16"/>
        <v>415.30469757994513</v>
      </c>
      <c r="H51" s="469">
        <f t="shared" si="16"/>
        <v>440</v>
      </c>
      <c r="I51" s="469">
        <f t="shared" si="16"/>
        <v>466.16376151808993</v>
      </c>
      <c r="J51" s="469">
        <f t="shared" si="16"/>
        <v>493.88330125612413</v>
      </c>
      <c r="K51" s="469">
        <f t="shared" si="16"/>
        <v>523.25113060119736</v>
      </c>
      <c r="L51" s="469">
        <f t="shared" si="16"/>
        <v>554.36526195374415</v>
      </c>
      <c r="M51" s="469">
        <f t="shared" si="16"/>
        <v>587.32953583481515</v>
      </c>
      <c r="N51" s="469">
        <f t="shared" si="16"/>
        <v>622.25396744416184</v>
      </c>
      <c r="O51" s="469">
        <f t="shared" si="16"/>
        <v>659.25511382573995</v>
      </c>
      <c r="P51" s="469">
        <f t="shared" si="16"/>
        <v>698.45646286600777</v>
      </c>
      <c r="Q51" s="469">
        <f t="shared" si="16"/>
        <v>739.98884542326891</v>
      </c>
      <c r="R51" s="469">
        <f t="shared" si="16"/>
        <v>783.99087196349865</v>
      </c>
      <c r="S51" s="469">
        <f t="shared" si="16"/>
        <v>830.60939515989048</v>
      </c>
      <c r="T51" s="469">
        <f t="shared" si="16"/>
        <v>880</v>
      </c>
      <c r="U51" s="469">
        <f t="shared" si="16"/>
        <v>932.32752303617985</v>
      </c>
      <c r="V51" s="469">
        <f t="shared" si="16"/>
        <v>987.76660251224848</v>
      </c>
    </row>
    <row r="52" spans="1:22" x14ac:dyDescent="0.2">
      <c r="B52" s="537" t="s">
        <v>1109</v>
      </c>
      <c r="C52" s="612"/>
      <c r="D52" s="612"/>
      <c r="E52" s="612"/>
      <c r="F52" s="612"/>
      <c r="G52" s="612"/>
      <c r="H52" s="612"/>
      <c r="I52" s="612"/>
      <c r="J52" s="612"/>
      <c r="K52" s="612"/>
      <c r="L52" s="612"/>
      <c r="M52" s="612"/>
      <c r="N52" s="612"/>
      <c r="O52" s="612"/>
      <c r="P52" s="612"/>
      <c r="Q52" s="612"/>
      <c r="R52" s="612"/>
      <c r="S52" s="612"/>
      <c r="T52" s="612"/>
      <c r="U52" s="612"/>
      <c r="V52" s="612"/>
    </row>
    <row r="53" spans="1:22" x14ac:dyDescent="0.2">
      <c r="B53" s="537" t="s">
        <v>1110</v>
      </c>
      <c r="C53" s="482">
        <f t="shared" ref="C53:V53" si="17">C28*C33/C51</f>
        <v>20.556533754218531</v>
      </c>
      <c r="D53" s="482">
        <f t="shared" si="17"/>
        <v>19.40278416838105</v>
      </c>
      <c r="E53" s="482">
        <f t="shared" si="17"/>
        <v>18.313789571041909</v>
      </c>
      <c r="F53" s="482">
        <f t="shared" si="17"/>
        <v>17.285915543964347</v>
      </c>
      <c r="G53" s="482">
        <f t="shared" si="17"/>
        <v>16.315731653133149</v>
      </c>
      <c r="H53" s="482">
        <f t="shared" si="17"/>
        <v>15.4</v>
      </c>
      <c r="I53" s="482">
        <f t="shared" si="17"/>
        <v>14.535664415298079</v>
      </c>
      <c r="J53" s="482">
        <f t="shared" si="17"/>
        <v>13.719840259361225</v>
      </c>
      <c r="K53" s="482">
        <f t="shared" si="17"/>
        <v>12.949804794907202</v>
      </c>
      <c r="L53" s="482">
        <f t="shared" si="17"/>
        <v>12.222988100155137</v>
      </c>
      <c r="M53" s="482">
        <f t="shared" si="17"/>
        <v>11.536964491950448</v>
      </c>
      <c r="N53" s="482">
        <f t="shared" si="17"/>
        <v>10.889444430272833</v>
      </c>
      <c r="O53" s="482">
        <f t="shared" si="17"/>
        <v>10.278266877109264</v>
      </c>
      <c r="P53" s="482">
        <f t="shared" si="17"/>
        <v>9.701392084190525</v>
      </c>
      <c r="Q53" s="482">
        <f t="shared" si="17"/>
        <v>9.1568947855209508</v>
      </c>
      <c r="R53" s="482">
        <f t="shared" si="17"/>
        <v>8.6429577719821715</v>
      </c>
      <c r="S53" s="482">
        <f t="shared" si="17"/>
        <v>8.1578658265665709</v>
      </c>
      <c r="T53" s="482">
        <f t="shared" si="17"/>
        <v>7.7</v>
      </c>
      <c r="U53" s="482">
        <f t="shared" si="17"/>
        <v>7.2678322076490396</v>
      </c>
      <c r="V53" s="482">
        <f t="shared" si="17"/>
        <v>6.8599201296806109</v>
      </c>
    </row>
    <row r="54" spans="1:22" x14ac:dyDescent="0.2">
      <c r="A54" s="604" t="s">
        <v>1168</v>
      </c>
      <c r="B54" s="537" t="s">
        <v>785</v>
      </c>
      <c r="C54" t="s">
        <v>12</v>
      </c>
      <c r="D54" t="s">
        <v>13</v>
      </c>
      <c r="E54" t="s">
        <v>14</v>
      </c>
      <c r="F54" t="s">
        <v>15</v>
      </c>
      <c r="G54" t="s">
        <v>16</v>
      </c>
      <c r="H54" t="s">
        <v>17</v>
      </c>
      <c r="I54" t="s">
        <v>18</v>
      </c>
      <c r="J54" t="s">
        <v>19</v>
      </c>
      <c r="K54" t="s">
        <v>20</v>
      </c>
      <c r="L54" t="s">
        <v>35</v>
      </c>
      <c r="M54" t="s">
        <v>210</v>
      </c>
      <c r="N54" t="s">
        <v>211</v>
      </c>
      <c r="O54" t="s">
        <v>45</v>
      </c>
      <c r="P54" t="s">
        <v>212</v>
      </c>
      <c r="Q54" t="s">
        <v>213</v>
      </c>
      <c r="R54" t="s">
        <v>725</v>
      </c>
      <c r="S54" t="s">
        <v>53</v>
      </c>
      <c r="T54" t="s">
        <v>734</v>
      </c>
      <c r="U54" t="s">
        <v>737</v>
      </c>
      <c r="V54" t="s">
        <v>214</v>
      </c>
    </row>
    <row r="55" spans="1:22" x14ac:dyDescent="0.2">
      <c r="B55" s="537" t="s">
        <v>1014</v>
      </c>
      <c r="C55" s="469">
        <f t="shared" ref="C55:V55" si="18">((2^(1/12))^(C4+11-49))*440</f>
        <v>369.99442271163434</v>
      </c>
      <c r="D55" s="469">
        <f t="shared" si="18"/>
        <v>391.99543598174927</v>
      </c>
      <c r="E55" s="469">
        <f t="shared" si="18"/>
        <v>415.30469757994513</v>
      </c>
      <c r="F55" s="469">
        <f t="shared" si="18"/>
        <v>440</v>
      </c>
      <c r="G55" s="469">
        <f t="shared" si="18"/>
        <v>466.16376151808993</v>
      </c>
      <c r="H55" s="469">
        <f t="shared" si="18"/>
        <v>493.88330125612413</v>
      </c>
      <c r="I55" s="469">
        <f t="shared" si="18"/>
        <v>523.25113060119736</v>
      </c>
      <c r="J55" s="469">
        <f t="shared" si="18"/>
        <v>554.36526195374415</v>
      </c>
      <c r="K55" s="469">
        <f t="shared" si="18"/>
        <v>587.32953583481515</v>
      </c>
      <c r="L55" s="469">
        <f t="shared" si="18"/>
        <v>622.25396744416184</v>
      </c>
      <c r="M55" s="469">
        <f t="shared" si="18"/>
        <v>659.25511382573995</v>
      </c>
      <c r="N55" s="469">
        <f t="shared" si="18"/>
        <v>698.45646286600777</v>
      </c>
      <c r="O55" s="469">
        <f t="shared" si="18"/>
        <v>739.98884542326891</v>
      </c>
      <c r="P55" s="469">
        <f t="shared" si="18"/>
        <v>783.99087196349865</v>
      </c>
      <c r="Q55" s="469">
        <f t="shared" si="18"/>
        <v>830.60939515989048</v>
      </c>
      <c r="R55" s="469">
        <f t="shared" si="18"/>
        <v>880</v>
      </c>
      <c r="S55" s="469">
        <f t="shared" si="18"/>
        <v>932.32752303617985</v>
      </c>
      <c r="T55" s="469">
        <f t="shared" si="18"/>
        <v>987.76660251224848</v>
      </c>
      <c r="U55" s="469">
        <f t="shared" si="18"/>
        <v>1046.5022612023947</v>
      </c>
      <c r="V55" s="469">
        <f t="shared" si="18"/>
        <v>1108.7305239074885</v>
      </c>
    </row>
    <row r="56" spans="1:22" x14ac:dyDescent="0.2">
      <c r="B56" s="537" t="s">
        <v>1109</v>
      </c>
      <c r="C56" s="612"/>
      <c r="D56" s="612"/>
      <c r="E56" s="612"/>
      <c r="F56" s="612"/>
      <c r="G56" s="612"/>
      <c r="H56" s="612"/>
      <c r="I56" s="612"/>
      <c r="J56" s="612"/>
      <c r="K56" s="612"/>
      <c r="L56" s="612"/>
      <c r="M56" s="612"/>
      <c r="N56" s="612"/>
      <c r="O56" s="612"/>
      <c r="P56" s="612"/>
      <c r="Q56" s="612"/>
      <c r="R56" s="612"/>
      <c r="S56" s="612"/>
      <c r="T56" s="612"/>
      <c r="U56" s="612"/>
      <c r="V56" s="612"/>
    </row>
    <row r="57" spans="1:22" x14ac:dyDescent="0.2">
      <c r="B57" s="537" t="s">
        <v>1110</v>
      </c>
      <c r="C57" s="482">
        <f t="shared" ref="C57:V57" si="19">C28*C33/C55</f>
        <v>18.313789571041909</v>
      </c>
      <c r="D57" s="482">
        <f t="shared" si="19"/>
        <v>17.285915543964347</v>
      </c>
      <c r="E57" s="482">
        <f t="shared" si="19"/>
        <v>16.315731653133149</v>
      </c>
      <c r="F57" s="482">
        <f t="shared" si="19"/>
        <v>15.4</v>
      </c>
      <c r="G57" s="482">
        <f t="shared" si="19"/>
        <v>14.535664415298079</v>
      </c>
      <c r="H57" s="482">
        <f t="shared" si="19"/>
        <v>13.719840259361225</v>
      </c>
      <c r="I57" s="482">
        <f t="shared" si="19"/>
        <v>12.949804794907202</v>
      </c>
      <c r="J57" s="482">
        <f t="shared" si="19"/>
        <v>12.222988100155137</v>
      </c>
      <c r="K57" s="482">
        <f t="shared" si="19"/>
        <v>11.536964491950448</v>
      </c>
      <c r="L57" s="482">
        <f t="shared" si="19"/>
        <v>10.889444430272832</v>
      </c>
      <c r="M57" s="482">
        <f t="shared" si="19"/>
        <v>10.278266877109264</v>
      </c>
      <c r="N57" s="482">
        <f t="shared" si="19"/>
        <v>9.701392084190525</v>
      </c>
      <c r="O57" s="482">
        <f t="shared" si="19"/>
        <v>9.1568947855209526</v>
      </c>
      <c r="P57" s="482">
        <f t="shared" si="19"/>
        <v>8.6429577719821733</v>
      </c>
      <c r="Q57" s="482">
        <f t="shared" si="19"/>
        <v>8.1578658265665709</v>
      </c>
      <c r="R57" s="482">
        <f t="shared" si="19"/>
        <v>7.7</v>
      </c>
      <c r="S57" s="482">
        <f t="shared" si="19"/>
        <v>7.2678322076490396</v>
      </c>
      <c r="T57" s="482">
        <f t="shared" si="19"/>
        <v>6.8599201296806109</v>
      </c>
      <c r="U57" s="482">
        <f t="shared" si="19"/>
        <v>6.4749023974536009</v>
      </c>
      <c r="V57" s="482">
        <f t="shared" si="19"/>
        <v>6.1114940500775674</v>
      </c>
    </row>
    <row r="59" spans="1:22" ht="15" x14ac:dyDescent="0.25">
      <c r="A59" s="615" t="s">
        <v>1169</v>
      </c>
      <c r="B59" s="632"/>
      <c r="C59" s="632"/>
      <c r="D59" s="632"/>
      <c r="E59" s="632"/>
      <c r="F59" s="632"/>
      <c r="G59" s="632"/>
      <c r="H59" s="632"/>
      <c r="I59" s="632"/>
      <c r="J59" s="632"/>
      <c r="K59" s="632"/>
      <c r="L59" s="632"/>
      <c r="M59" s="632"/>
      <c r="N59" s="632"/>
      <c r="O59" s="632"/>
      <c r="P59" s="632"/>
      <c r="Q59" s="632"/>
      <c r="R59" s="632"/>
      <c r="S59" s="632"/>
      <c r="T59" s="632"/>
      <c r="U59" s="632"/>
      <c r="V59" s="632"/>
    </row>
    <row r="60" spans="1:22" x14ac:dyDescent="0.2">
      <c r="A60" s="472" t="s">
        <v>1170</v>
      </c>
      <c r="C60" s="631">
        <f t="shared" ref="C60:V60" si="20">C28*0.15</f>
        <v>5.1857746631893038</v>
      </c>
      <c r="D60" s="631">
        <f t="shared" si="20"/>
        <v>4.8947194959399445</v>
      </c>
      <c r="E60" s="631">
        <f t="shared" si="20"/>
        <v>4.62</v>
      </c>
      <c r="F60" s="631">
        <f t="shared" si="20"/>
        <v>4.360699324589425</v>
      </c>
      <c r="G60" s="631">
        <f t="shared" si="20"/>
        <v>4.1159520778083678</v>
      </c>
      <c r="H60" s="631">
        <f t="shared" si="20"/>
        <v>3.8849414384721612</v>
      </c>
      <c r="I60" s="631">
        <f t="shared" si="20"/>
        <v>3.666896430046541</v>
      </c>
      <c r="J60" s="631">
        <f t="shared" si="20"/>
        <v>3.4610893475851348</v>
      </c>
      <c r="K60" s="631">
        <f t="shared" si="20"/>
        <v>3.2668333290818499</v>
      </c>
      <c r="L60" s="631">
        <f t="shared" si="20"/>
        <v>3.0834800631327797</v>
      </c>
      <c r="M60" s="631">
        <f t="shared" si="20"/>
        <v>2.910417625257157</v>
      </c>
      <c r="N60" s="631">
        <f t="shared" si="20"/>
        <v>2.7470684356562862</v>
      </c>
      <c r="O60" s="631">
        <f t="shared" si="20"/>
        <v>2.5928873315946519</v>
      </c>
      <c r="P60" s="631">
        <f t="shared" si="20"/>
        <v>2.4473597479699722</v>
      </c>
      <c r="Q60" s="631">
        <f t="shared" si="20"/>
        <v>2.31</v>
      </c>
      <c r="R60" s="631">
        <f t="shared" si="20"/>
        <v>2.1803496622947116</v>
      </c>
      <c r="S60" s="631">
        <f t="shared" si="20"/>
        <v>2.0579760389041839</v>
      </c>
      <c r="T60" s="631">
        <f t="shared" si="20"/>
        <v>1.9424707192360802</v>
      </c>
      <c r="U60" s="631">
        <f t="shared" si="20"/>
        <v>1.8334482150232705</v>
      </c>
      <c r="V60" s="631">
        <f t="shared" si="20"/>
        <v>1.7305446737925672</v>
      </c>
    </row>
    <row r="61" spans="1:22" x14ac:dyDescent="0.2">
      <c r="A61" s="472" t="s">
        <v>1171</v>
      </c>
      <c r="C61" s="631">
        <f t="shared" ref="C61:V61" si="21">C28*0.12</f>
        <v>4.1486197305514434</v>
      </c>
      <c r="D61" s="631">
        <f t="shared" si="21"/>
        <v>3.9157755967519554</v>
      </c>
      <c r="E61" s="631">
        <f t="shared" si="21"/>
        <v>3.6959999999999997</v>
      </c>
      <c r="F61" s="631">
        <f t="shared" si="21"/>
        <v>3.4885594596715399</v>
      </c>
      <c r="G61" s="631">
        <f t="shared" si="21"/>
        <v>3.2927616622466944</v>
      </c>
      <c r="H61" s="631">
        <f t="shared" si="21"/>
        <v>3.1079531507777292</v>
      </c>
      <c r="I61" s="631">
        <f t="shared" si="21"/>
        <v>2.9335171440372325</v>
      </c>
      <c r="J61" s="631">
        <f t="shared" si="21"/>
        <v>2.7688714780681076</v>
      </c>
      <c r="K61" s="631">
        <f t="shared" si="21"/>
        <v>2.6134666632654802</v>
      </c>
      <c r="L61" s="631">
        <f t="shared" si="21"/>
        <v>2.4667840505062237</v>
      </c>
      <c r="M61" s="631">
        <f t="shared" si="21"/>
        <v>2.3283341002057254</v>
      </c>
      <c r="N61" s="631">
        <f t="shared" si="21"/>
        <v>2.1976547485250291</v>
      </c>
      <c r="O61" s="631">
        <f t="shared" si="21"/>
        <v>2.0743098652757217</v>
      </c>
      <c r="P61" s="631">
        <f t="shared" si="21"/>
        <v>1.9578877983759777</v>
      </c>
      <c r="Q61" s="631">
        <f t="shared" si="21"/>
        <v>1.8479999999999999</v>
      </c>
      <c r="R61" s="631">
        <f t="shared" si="21"/>
        <v>1.7442797298357695</v>
      </c>
      <c r="S61" s="631">
        <f t="shared" si="21"/>
        <v>1.646380831123347</v>
      </c>
      <c r="T61" s="631">
        <f t="shared" si="21"/>
        <v>1.5539765753888641</v>
      </c>
      <c r="U61" s="631">
        <f t="shared" si="21"/>
        <v>1.4667585720186163</v>
      </c>
      <c r="V61" s="631">
        <f t="shared" si="21"/>
        <v>1.3844357390340536</v>
      </c>
    </row>
    <row r="62" spans="1:22" x14ac:dyDescent="0.2">
      <c r="A62" s="472" t="s">
        <v>1172</v>
      </c>
      <c r="C62" s="631">
        <f t="shared" ref="C62:V62" si="22">C28*0.09</f>
        <v>3.1114647979135821</v>
      </c>
      <c r="D62" s="631">
        <f t="shared" si="22"/>
        <v>2.9368316975639668</v>
      </c>
      <c r="E62" s="631">
        <f t="shared" si="22"/>
        <v>2.7719999999999998</v>
      </c>
      <c r="F62" s="631">
        <f t="shared" si="22"/>
        <v>2.6164195947536548</v>
      </c>
      <c r="G62" s="631">
        <f t="shared" si="22"/>
        <v>2.4695712466850206</v>
      </c>
      <c r="H62" s="631">
        <f t="shared" si="22"/>
        <v>2.3309648630832966</v>
      </c>
      <c r="I62" s="631">
        <f t="shared" si="22"/>
        <v>2.2001378580279245</v>
      </c>
      <c r="J62" s="631">
        <f t="shared" si="22"/>
        <v>2.0766536085510809</v>
      </c>
      <c r="K62" s="631">
        <f t="shared" si="22"/>
        <v>1.96009999744911</v>
      </c>
      <c r="L62" s="631">
        <f t="shared" si="22"/>
        <v>1.8500880378796678</v>
      </c>
      <c r="M62" s="631">
        <f t="shared" si="22"/>
        <v>1.746250575154294</v>
      </c>
      <c r="N62" s="631">
        <f t="shared" si="22"/>
        <v>1.6482410613937717</v>
      </c>
      <c r="O62" s="631">
        <f t="shared" si="22"/>
        <v>1.5557323989567911</v>
      </c>
      <c r="P62" s="631">
        <f t="shared" si="22"/>
        <v>1.4684158487819834</v>
      </c>
      <c r="Q62" s="631">
        <f t="shared" si="22"/>
        <v>1.3859999999999999</v>
      </c>
      <c r="R62" s="631">
        <f t="shared" si="22"/>
        <v>1.3082097973768272</v>
      </c>
      <c r="S62" s="631">
        <f t="shared" si="22"/>
        <v>1.2347856233425103</v>
      </c>
      <c r="T62" s="631">
        <f t="shared" si="22"/>
        <v>1.1654824315416481</v>
      </c>
      <c r="U62" s="631">
        <f t="shared" si="22"/>
        <v>1.1000689290139622</v>
      </c>
      <c r="V62" s="631">
        <f t="shared" si="22"/>
        <v>1.0383268042755402</v>
      </c>
    </row>
    <row r="63" spans="1:22" x14ac:dyDescent="0.2">
      <c r="A63" s="472" t="s">
        <v>1173</v>
      </c>
      <c r="C63" s="631">
        <f t="shared" ref="C63:V63" si="23">C28*0.06</f>
        <v>2.0743098652757217</v>
      </c>
      <c r="D63" s="631">
        <f t="shared" si="23"/>
        <v>1.9578877983759777</v>
      </c>
      <c r="E63" s="631">
        <f t="shared" si="23"/>
        <v>1.8479999999999999</v>
      </c>
      <c r="F63" s="631">
        <f t="shared" si="23"/>
        <v>1.74427972983577</v>
      </c>
      <c r="G63" s="631">
        <f t="shared" si="23"/>
        <v>1.6463808311233472</v>
      </c>
      <c r="H63" s="631">
        <f t="shared" si="23"/>
        <v>1.5539765753888646</v>
      </c>
      <c r="I63" s="631">
        <f t="shared" si="23"/>
        <v>1.4667585720186163</v>
      </c>
      <c r="J63" s="631">
        <f t="shared" si="23"/>
        <v>1.3844357390340538</v>
      </c>
      <c r="K63" s="631">
        <f t="shared" si="23"/>
        <v>1.3067333316327401</v>
      </c>
      <c r="L63" s="631">
        <f t="shared" si="23"/>
        <v>1.2333920252531119</v>
      </c>
      <c r="M63" s="631">
        <f t="shared" si="23"/>
        <v>1.1641670501028627</v>
      </c>
      <c r="N63" s="631">
        <f t="shared" si="23"/>
        <v>1.0988273742625145</v>
      </c>
      <c r="O63" s="631">
        <f t="shared" si="23"/>
        <v>1.0371549326378608</v>
      </c>
      <c r="P63" s="631">
        <f t="shared" si="23"/>
        <v>0.97894389918798885</v>
      </c>
      <c r="Q63" s="631">
        <f t="shared" si="23"/>
        <v>0.92399999999999993</v>
      </c>
      <c r="R63" s="631">
        <f t="shared" si="23"/>
        <v>0.87213986491788476</v>
      </c>
      <c r="S63" s="631">
        <f t="shared" si="23"/>
        <v>0.82319041556167349</v>
      </c>
      <c r="T63" s="631">
        <f t="shared" si="23"/>
        <v>0.77698828769443207</v>
      </c>
      <c r="U63" s="631">
        <f t="shared" si="23"/>
        <v>0.73337928600930813</v>
      </c>
      <c r="V63" s="631">
        <f t="shared" si="23"/>
        <v>0.6922178695170268</v>
      </c>
    </row>
    <row r="64" spans="1:22" x14ac:dyDescent="0.2">
      <c r="A64" s="472" t="s">
        <v>1174</v>
      </c>
      <c r="C64" s="631">
        <f t="shared" ref="C64:V64" si="24">C7*0.3</f>
        <v>0.33749999999999997</v>
      </c>
      <c r="D64" s="631">
        <f t="shared" si="24"/>
        <v>0.33749999999999997</v>
      </c>
      <c r="E64" s="631">
        <f t="shared" si="24"/>
        <v>0.33749999999999997</v>
      </c>
      <c r="F64" s="631">
        <f t="shared" si="24"/>
        <v>0.33749999999999997</v>
      </c>
      <c r="G64" s="631">
        <f t="shared" si="24"/>
        <v>0.3</v>
      </c>
      <c r="H64" s="631">
        <f t="shared" si="24"/>
        <v>0.3</v>
      </c>
      <c r="I64" s="631">
        <f t="shared" si="24"/>
        <v>0.3</v>
      </c>
      <c r="J64" s="631">
        <f t="shared" si="24"/>
        <v>0.3</v>
      </c>
      <c r="K64" s="631">
        <f t="shared" si="24"/>
        <v>0.26250000000000001</v>
      </c>
      <c r="L64" s="631">
        <f t="shared" si="24"/>
        <v>0.26250000000000001</v>
      </c>
      <c r="M64" s="631">
        <f t="shared" si="24"/>
        <v>0.26250000000000001</v>
      </c>
      <c r="N64" s="631">
        <f t="shared" si="24"/>
        <v>0.26250000000000001</v>
      </c>
      <c r="O64" s="631">
        <f t="shared" si="24"/>
        <v>0.22499999999999998</v>
      </c>
      <c r="P64" s="631">
        <f t="shared" si="24"/>
        <v>0.22499999999999998</v>
      </c>
      <c r="Q64" s="631">
        <f t="shared" si="24"/>
        <v>0.22499999999999998</v>
      </c>
      <c r="R64" s="631">
        <f t="shared" si="24"/>
        <v>0.22499999999999998</v>
      </c>
      <c r="S64" s="631">
        <f t="shared" si="24"/>
        <v>0.1875</v>
      </c>
      <c r="T64" s="631">
        <f t="shared" si="24"/>
        <v>0.1875</v>
      </c>
      <c r="U64" s="631">
        <f t="shared" si="24"/>
        <v>0.1875</v>
      </c>
      <c r="V64" s="631">
        <f t="shared" si="24"/>
        <v>0.1875</v>
      </c>
    </row>
    <row r="67" spans="1:1" ht="18" x14ac:dyDescent="0.25">
      <c r="A67" s="833" t="s">
        <v>6719</v>
      </c>
    </row>
    <row r="68" spans="1:1" x14ac:dyDescent="0.2">
      <c r="A68" s="734" t="s">
        <v>6720</v>
      </c>
    </row>
    <row r="70" spans="1:1" x14ac:dyDescent="0.2">
      <c r="A70" s="609" t="s">
        <v>6355</v>
      </c>
    </row>
    <row r="71" spans="1:1" x14ac:dyDescent="0.2">
      <c r="A71" t="s">
        <v>6721</v>
      </c>
    </row>
    <row r="72" spans="1:1" x14ac:dyDescent="0.2">
      <c r="A72" t="s">
        <v>6722</v>
      </c>
    </row>
    <row r="73" spans="1:1" x14ac:dyDescent="0.2">
      <c r="A73" t="s">
        <v>6723</v>
      </c>
    </row>
    <row r="75" spans="1:1" x14ac:dyDescent="0.2">
      <c r="A75" s="609" t="s">
        <v>6359</v>
      </c>
    </row>
    <row r="76" spans="1:1" x14ac:dyDescent="0.2">
      <c r="A76" t="s">
        <v>6724</v>
      </c>
    </row>
    <row r="77" spans="1:1" x14ac:dyDescent="0.2">
      <c r="A77" t="s">
        <v>6725</v>
      </c>
    </row>
    <row r="78" spans="1:1" x14ac:dyDescent="0.2">
      <c r="A78" t="s">
        <v>6726</v>
      </c>
    </row>
    <row r="80" spans="1:1" x14ac:dyDescent="0.2">
      <c r="A80" s="609" t="s">
        <v>6654</v>
      </c>
    </row>
    <row r="81" spans="1:1" x14ac:dyDescent="0.2">
      <c r="A81" t="s">
        <v>6727</v>
      </c>
    </row>
    <row r="82" spans="1:1" x14ac:dyDescent="0.2">
      <c r="A82" t="s">
        <v>6728</v>
      </c>
    </row>
    <row r="83" spans="1:1" x14ac:dyDescent="0.2">
      <c r="A83" t="s">
        <v>6729</v>
      </c>
    </row>
    <row r="85" spans="1:1" x14ac:dyDescent="0.2">
      <c r="A85" s="609" t="s">
        <v>6658</v>
      </c>
    </row>
    <row r="86" spans="1:1" x14ac:dyDescent="0.2">
      <c r="A86" t="s">
        <v>6730</v>
      </c>
    </row>
    <row r="87" spans="1:1" x14ac:dyDescent="0.2">
      <c r="A87" t="s">
        <v>6731</v>
      </c>
    </row>
    <row r="89" spans="1:1" x14ac:dyDescent="0.2">
      <c r="A89" s="609" t="s">
        <v>6661</v>
      </c>
    </row>
    <row r="90" spans="1:1" x14ac:dyDescent="0.2">
      <c r="A90" t="s">
        <v>6732</v>
      </c>
    </row>
    <row r="91" spans="1:1" x14ac:dyDescent="0.2">
      <c r="A91" t="s">
        <v>6733</v>
      </c>
    </row>
    <row r="92" spans="1:1" x14ac:dyDescent="0.2">
      <c r="A92" t="s">
        <v>6734</v>
      </c>
    </row>
    <row r="94" spans="1:1" x14ac:dyDescent="0.2">
      <c r="A94" s="609" t="s">
        <v>6682</v>
      </c>
    </row>
    <row r="95" spans="1:1" x14ac:dyDescent="0.2">
      <c r="A95" t="s">
        <v>6735</v>
      </c>
    </row>
    <row r="98" spans="1:1" ht="18" x14ac:dyDescent="0.25">
      <c r="A98" s="838" t="s">
        <v>7230</v>
      </c>
    </row>
    <row r="99" spans="1:1" x14ac:dyDescent="0.2">
      <c r="A99" s="734" t="s">
        <v>7131</v>
      </c>
    </row>
    <row r="101" spans="1:1" x14ac:dyDescent="0.2">
      <c r="A101" s="839" t="s">
        <v>7132</v>
      </c>
    </row>
    <row r="102" spans="1:1" x14ac:dyDescent="0.2">
      <c r="A102" t="s">
        <v>7231</v>
      </c>
    </row>
    <row r="103" spans="1:1" x14ac:dyDescent="0.2">
      <c r="A103" t="s">
        <v>7232</v>
      </c>
    </row>
    <row r="104" spans="1:1" x14ac:dyDescent="0.2">
      <c r="A104" t="s">
        <v>7233</v>
      </c>
    </row>
    <row r="105" spans="1:1" x14ac:dyDescent="0.2">
      <c r="A105" t="s">
        <v>7234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D1BC1-DEDB-44B1-981B-54BBAC5B09ED}">
  <dimension ref="A1:E68"/>
  <sheetViews>
    <sheetView workbookViewId="0"/>
  </sheetViews>
  <sheetFormatPr defaultRowHeight="12.75" x14ac:dyDescent="0.2"/>
  <cols>
    <col min="1" max="1" width="7.5703125" customWidth="1"/>
    <col min="2" max="2" width="30.42578125" customWidth="1"/>
    <col min="3" max="3" width="17.140625" customWidth="1"/>
    <col min="4" max="4" width="66.7109375" customWidth="1"/>
    <col min="5" max="5" width="24.7109375" customWidth="1"/>
  </cols>
  <sheetData>
    <row r="1" spans="1:5" ht="20.25" x14ac:dyDescent="0.3">
      <c r="A1" s="732" t="s">
        <v>3087</v>
      </c>
    </row>
    <row r="2" spans="1:5" x14ac:dyDescent="0.2">
      <c r="A2" s="537" t="s">
        <v>6265</v>
      </c>
    </row>
    <row r="4" spans="1:5" ht="15.75" x14ac:dyDescent="0.25">
      <c r="A4" s="692" t="s">
        <v>3088</v>
      </c>
    </row>
    <row r="5" spans="1:5" x14ac:dyDescent="0.2">
      <c r="A5" s="604" t="s">
        <v>610</v>
      </c>
      <c r="B5" s="604" t="s">
        <v>3089</v>
      </c>
      <c r="C5" s="604" t="s">
        <v>2262</v>
      </c>
      <c r="D5" s="604" t="s">
        <v>3090</v>
      </c>
      <c r="E5" s="604" t="s">
        <v>3091</v>
      </c>
    </row>
    <row r="6" spans="1:5" x14ac:dyDescent="0.2">
      <c r="A6">
        <v>1</v>
      </c>
      <c r="B6" t="s">
        <v>3092</v>
      </c>
      <c r="C6" t="s">
        <v>3093</v>
      </c>
      <c r="D6" t="s">
        <v>3094</v>
      </c>
      <c r="E6" t="s">
        <v>3095</v>
      </c>
    </row>
    <row r="7" spans="1:5" x14ac:dyDescent="0.2">
      <c r="A7">
        <v>2</v>
      </c>
      <c r="B7" t="s">
        <v>3096</v>
      </c>
      <c r="C7" t="s">
        <v>3093</v>
      </c>
      <c r="D7" t="s">
        <v>3097</v>
      </c>
      <c r="E7" t="s">
        <v>3098</v>
      </c>
    </row>
    <row r="8" spans="1:5" x14ac:dyDescent="0.2">
      <c r="A8">
        <v>3</v>
      </c>
      <c r="B8" t="s">
        <v>3099</v>
      </c>
      <c r="C8" t="s">
        <v>3100</v>
      </c>
      <c r="D8" t="s">
        <v>3101</v>
      </c>
    </row>
    <row r="9" spans="1:5" x14ac:dyDescent="0.2">
      <c r="A9">
        <v>4</v>
      </c>
      <c r="B9" t="s">
        <v>3102</v>
      </c>
      <c r="C9" t="s">
        <v>3103</v>
      </c>
      <c r="D9" t="s">
        <v>3104</v>
      </c>
      <c r="E9" t="s">
        <v>3105</v>
      </c>
    </row>
    <row r="10" spans="1:5" x14ac:dyDescent="0.2">
      <c r="A10">
        <v>5</v>
      </c>
      <c r="B10" t="s">
        <v>3106</v>
      </c>
      <c r="C10" t="s">
        <v>3107</v>
      </c>
      <c r="D10" t="s">
        <v>3108</v>
      </c>
    </row>
    <row r="11" spans="1:5" x14ac:dyDescent="0.2">
      <c r="A11">
        <v>6</v>
      </c>
      <c r="B11" t="s">
        <v>3109</v>
      </c>
      <c r="C11" t="s">
        <v>3107</v>
      </c>
      <c r="D11" t="s">
        <v>3110</v>
      </c>
      <c r="E11" t="s">
        <v>3111</v>
      </c>
    </row>
    <row r="12" spans="1:5" x14ac:dyDescent="0.2">
      <c r="A12">
        <v>7</v>
      </c>
      <c r="B12" t="s">
        <v>3112</v>
      </c>
      <c r="C12" t="s">
        <v>3093</v>
      </c>
      <c r="D12" t="s">
        <v>3113</v>
      </c>
      <c r="E12" t="s">
        <v>3114</v>
      </c>
    </row>
    <row r="13" spans="1:5" x14ac:dyDescent="0.2">
      <c r="A13">
        <v>8</v>
      </c>
      <c r="B13" t="s">
        <v>3115</v>
      </c>
      <c r="C13" t="s">
        <v>3116</v>
      </c>
      <c r="D13" t="s">
        <v>3117</v>
      </c>
    </row>
    <row r="15" spans="1:5" ht="15.75" x14ac:dyDescent="0.25">
      <c r="A15" s="699" t="s">
        <v>3118</v>
      </c>
    </row>
    <row r="16" spans="1:5" x14ac:dyDescent="0.2">
      <c r="A16">
        <v>9</v>
      </c>
      <c r="B16" t="s">
        <v>3119</v>
      </c>
      <c r="C16" t="s">
        <v>3093</v>
      </c>
      <c r="D16" t="s">
        <v>3120</v>
      </c>
    </row>
    <row r="17" spans="1:5" x14ac:dyDescent="0.2">
      <c r="A17">
        <v>10</v>
      </c>
      <c r="B17" t="s">
        <v>3121</v>
      </c>
      <c r="C17" t="s">
        <v>3093</v>
      </c>
      <c r="D17" t="s">
        <v>3122</v>
      </c>
    </row>
    <row r="18" spans="1:5" x14ac:dyDescent="0.2">
      <c r="A18">
        <v>11</v>
      </c>
      <c r="B18" t="s">
        <v>3123</v>
      </c>
      <c r="C18" t="s">
        <v>3093</v>
      </c>
      <c r="D18" t="s">
        <v>3124</v>
      </c>
    </row>
    <row r="19" spans="1:5" x14ac:dyDescent="0.2">
      <c r="A19">
        <v>12</v>
      </c>
      <c r="B19" t="s">
        <v>3125</v>
      </c>
      <c r="C19" t="s">
        <v>3093</v>
      </c>
      <c r="D19" t="s">
        <v>3126</v>
      </c>
      <c r="E19" t="s">
        <v>3127</v>
      </c>
    </row>
    <row r="20" spans="1:5" x14ac:dyDescent="0.2">
      <c r="A20">
        <v>13</v>
      </c>
      <c r="B20" t="s">
        <v>3128</v>
      </c>
      <c r="C20" t="s">
        <v>3129</v>
      </c>
      <c r="D20" t="s">
        <v>3130</v>
      </c>
    </row>
    <row r="21" spans="1:5" x14ac:dyDescent="0.2">
      <c r="A21">
        <v>14</v>
      </c>
      <c r="B21" t="s">
        <v>3131</v>
      </c>
      <c r="C21" t="s">
        <v>3093</v>
      </c>
      <c r="D21" t="s">
        <v>3132</v>
      </c>
    </row>
    <row r="22" spans="1:5" x14ac:dyDescent="0.2">
      <c r="A22">
        <v>15</v>
      </c>
      <c r="B22" t="s">
        <v>3133</v>
      </c>
      <c r="C22" t="s">
        <v>3093</v>
      </c>
      <c r="D22" t="s">
        <v>3134</v>
      </c>
    </row>
    <row r="23" spans="1:5" x14ac:dyDescent="0.2">
      <c r="A23">
        <v>16</v>
      </c>
      <c r="B23" t="s">
        <v>3135</v>
      </c>
      <c r="C23" t="s">
        <v>3093</v>
      </c>
      <c r="D23" t="s">
        <v>3136</v>
      </c>
    </row>
    <row r="24" spans="1:5" x14ac:dyDescent="0.2">
      <c r="A24">
        <v>17</v>
      </c>
      <c r="B24" t="s">
        <v>3137</v>
      </c>
      <c r="C24" t="s">
        <v>3093</v>
      </c>
      <c r="D24" t="s">
        <v>3138</v>
      </c>
    </row>
    <row r="25" spans="1:5" x14ac:dyDescent="0.2">
      <c r="A25">
        <v>18</v>
      </c>
      <c r="B25" t="s">
        <v>3139</v>
      </c>
      <c r="C25" t="s">
        <v>3093</v>
      </c>
      <c r="D25" t="s">
        <v>3140</v>
      </c>
    </row>
    <row r="26" spans="1:5" x14ac:dyDescent="0.2">
      <c r="A26">
        <v>19</v>
      </c>
      <c r="B26" t="s">
        <v>3141</v>
      </c>
      <c r="C26" t="s">
        <v>3093</v>
      </c>
      <c r="D26" t="s">
        <v>3142</v>
      </c>
    </row>
    <row r="27" spans="1:5" x14ac:dyDescent="0.2">
      <c r="A27">
        <v>20</v>
      </c>
      <c r="B27" t="s">
        <v>3143</v>
      </c>
      <c r="C27" t="s">
        <v>3093</v>
      </c>
      <c r="D27" t="s">
        <v>3144</v>
      </c>
      <c r="E27" t="s">
        <v>3145</v>
      </c>
    </row>
    <row r="29" spans="1:5" ht="15.75" x14ac:dyDescent="0.25">
      <c r="A29" s="663" t="s">
        <v>3146</v>
      </c>
    </row>
    <row r="30" spans="1:5" x14ac:dyDescent="0.2">
      <c r="A30">
        <v>21</v>
      </c>
      <c r="B30" t="s">
        <v>3147</v>
      </c>
      <c r="C30" t="s">
        <v>3093</v>
      </c>
      <c r="D30" t="s">
        <v>3148</v>
      </c>
      <c r="E30" t="s">
        <v>3149</v>
      </c>
    </row>
    <row r="31" spans="1:5" x14ac:dyDescent="0.2">
      <c r="A31">
        <v>22</v>
      </c>
      <c r="B31" t="s">
        <v>3150</v>
      </c>
      <c r="C31" t="s">
        <v>3093</v>
      </c>
      <c r="D31" t="s">
        <v>3151</v>
      </c>
    </row>
    <row r="32" spans="1:5" x14ac:dyDescent="0.2">
      <c r="A32">
        <v>23</v>
      </c>
      <c r="B32" t="s">
        <v>3152</v>
      </c>
      <c r="C32" t="s">
        <v>3093</v>
      </c>
      <c r="D32" t="s">
        <v>3153</v>
      </c>
    </row>
    <row r="33" spans="1:5" x14ac:dyDescent="0.2">
      <c r="A33">
        <v>24</v>
      </c>
      <c r="B33" t="s">
        <v>3154</v>
      </c>
      <c r="C33" t="s">
        <v>3093</v>
      </c>
      <c r="D33" t="s">
        <v>3155</v>
      </c>
    </row>
    <row r="35" spans="1:5" ht="15.75" x14ac:dyDescent="0.25">
      <c r="A35" s="667" t="s">
        <v>3156</v>
      </c>
    </row>
    <row r="36" spans="1:5" x14ac:dyDescent="0.2">
      <c r="A36">
        <v>25</v>
      </c>
      <c r="B36" t="s">
        <v>3157</v>
      </c>
      <c r="C36" t="s">
        <v>3158</v>
      </c>
      <c r="D36" t="s">
        <v>3159</v>
      </c>
    </row>
    <row r="37" spans="1:5" x14ac:dyDescent="0.2">
      <c r="A37">
        <v>26</v>
      </c>
      <c r="B37" t="s">
        <v>3160</v>
      </c>
      <c r="C37" t="s">
        <v>3158</v>
      </c>
      <c r="D37" t="s">
        <v>3161</v>
      </c>
    </row>
    <row r="38" spans="1:5" x14ac:dyDescent="0.2">
      <c r="A38">
        <v>27</v>
      </c>
      <c r="B38" t="s">
        <v>3162</v>
      </c>
      <c r="C38" t="s">
        <v>3163</v>
      </c>
      <c r="D38" t="s">
        <v>3164</v>
      </c>
    </row>
    <row r="39" spans="1:5" x14ac:dyDescent="0.2">
      <c r="A39">
        <v>28</v>
      </c>
      <c r="B39" t="s">
        <v>3165</v>
      </c>
      <c r="C39" t="s">
        <v>3158</v>
      </c>
      <c r="D39" t="s">
        <v>3166</v>
      </c>
    </row>
    <row r="40" spans="1:5" x14ac:dyDescent="0.2">
      <c r="A40">
        <v>29</v>
      </c>
      <c r="B40" t="s">
        <v>3167</v>
      </c>
      <c r="C40" t="s">
        <v>3158</v>
      </c>
      <c r="D40" t="s">
        <v>3168</v>
      </c>
    </row>
    <row r="41" spans="1:5" x14ac:dyDescent="0.2">
      <c r="A41">
        <v>30</v>
      </c>
      <c r="B41" t="s">
        <v>3169</v>
      </c>
      <c r="C41" t="s">
        <v>3158</v>
      </c>
      <c r="D41" t="s">
        <v>3170</v>
      </c>
    </row>
    <row r="43" spans="1:5" ht="15.75" x14ac:dyDescent="0.25">
      <c r="A43" s="709" t="s">
        <v>3171</v>
      </c>
    </row>
    <row r="44" spans="1:5" x14ac:dyDescent="0.2">
      <c r="A44">
        <v>31</v>
      </c>
      <c r="B44" t="s">
        <v>3172</v>
      </c>
      <c r="C44" t="s">
        <v>3173</v>
      </c>
      <c r="D44" t="s">
        <v>3174</v>
      </c>
      <c r="E44" t="s">
        <v>3175</v>
      </c>
    </row>
    <row r="45" spans="1:5" x14ac:dyDescent="0.2">
      <c r="A45">
        <v>32</v>
      </c>
      <c r="B45" t="s">
        <v>3176</v>
      </c>
      <c r="C45" t="s">
        <v>3129</v>
      </c>
      <c r="D45" t="s">
        <v>3177</v>
      </c>
    </row>
    <row r="46" spans="1:5" x14ac:dyDescent="0.2">
      <c r="A46">
        <v>33</v>
      </c>
      <c r="B46" t="s">
        <v>3178</v>
      </c>
      <c r="C46" t="s">
        <v>3173</v>
      </c>
      <c r="D46" t="s">
        <v>3179</v>
      </c>
      <c r="E46" t="s">
        <v>3180</v>
      </c>
    </row>
    <row r="47" spans="1:5" x14ac:dyDescent="0.2">
      <c r="A47">
        <v>34</v>
      </c>
      <c r="B47" t="s">
        <v>3143</v>
      </c>
      <c r="C47" t="s">
        <v>3163</v>
      </c>
      <c r="D47" t="s">
        <v>3181</v>
      </c>
      <c r="E47" t="s">
        <v>3145</v>
      </c>
    </row>
    <row r="49" spans="1:5" ht="15.75" x14ac:dyDescent="0.25">
      <c r="A49" s="754" t="s">
        <v>3424</v>
      </c>
    </row>
    <row r="50" spans="1:5" x14ac:dyDescent="0.2">
      <c r="A50">
        <v>35</v>
      </c>
      <c r="B50" t="s">
        <v>3425</v>
      </c>
      <c r="C50" t="s">
        <v>3163</v>
      </c>
      <c r="D50" t="s">
        <v>3426</v>
      </c>
      <c r="E50" t="s">
        <v>3427</v>
      </c>
    </row>
    <row r="51" spans="1:5" x14ac:dyDescent="0.2">
      <c r="A51">
        <v>36</v>
      </c>
      <c r="B51" t="s">
        <v>3710</v>
      </c>
      <c r="C51" t="s">
        <v>3163</v>
      </c>
      <c r="D51" t="s">
        <v>3711</v>
      </c>
      <c r="E51" t="s">
        <v>3712</v>
      </c>
    </row>
    <row r="52" spans="1:5" x14ac:dyDescent="0.2">
      <c r="A52">
        <v>37</v>
      </c>
      <c r="B52" t="s">
        <v>3713</v>
      </c>
      <c r="C52" t="s">
        <v>3163</v>
      </c>
      <c r="D52" t="s">
        <v>3714</v>
      </c>
      <c r="E52" t="s">
        <v>3715</v>
      </c>
    </row>
    <row r="54" spans="1:5" ht="15.75" x14ac:dyDescent="0.25">
      <c r="A54" s="663" t="s">
        <v>3930</v>
      </c>
    </row>
    <row r="55" spans="1:5" x14ac:dyDescent="0.2">
      <c r="A55">
        <v>38</v>
      </c>
      <c r="B55" t="s">
        <v>3931</v>
      </c>
      <c r="C55" t="s">
        <v>3163</v>
      </c>
      <c r="D55" t="s">
        <v>3932</v>
      </c>
      <c r="E55" t="s">
        <v>3933</v>
      </c>
    </row>
    <row r="57" spans="1:5" ht="15.75" x14ac:dyDescent="0.25">
      <c r="A57" s="709" t="s">
        <v>4166</v>
      </c>
    </row>
    <row r="58" spans="1:5" x14ac:dyDescent="0.2">
      <c r="A58">
        <v>39</v>
      </c>
      <c r="B58" t="s">
        <v>4167</v>
      </c>
      <c r="C58" t="s">
        <v>3163</v>
      </c>
      <c r="D58" t="s">
        <v>4168</v>
      </c>
      <c r="E58" t="s">
        <v>4169</v>
      </c>
    </row>
    <row r="59" spans="1:5" x14ac:dyDescent="0.2">
      <c r="A59">
        <v>40</v>
      </c>
      <c r="B59" t="s">
        <v>4781</v>
      </c>
      <c r="C59" t="s">
        <v>3163</v>
      </c>
      <c r="D59" t="s">
        <v>4782</v>
      </c>
      <c r="E59" t="s">
        <v>4783</v>
      </c>
    </row>
    <row r="60" spans="1:5" ht="15.75" x14ac:dyDescent="0.25">
      <c r="A60" s="774">
        <v>46</v>
      </c>
      <c r="B60" t="s">
        <v>5096</v>
      </c>
      <c r="C60" t="s">
        <v>3163</v>
      </c>
      <c r="D60" t="s">
        <v>5097</v>
      </c>
      <c r="E60" t="s">
        <v>5098</v>
      </c>
    </row>
    <row r="61" spans="1:5" x14ac:dyDescent="0.2">
      <c r="A61">
        <v>42</v>
      </c>
      <c r="B61" t="s">
        <v>4467</v>
      </c>
      <c r="C61" t="s">
        <v>4468</v>
      </c>
      <c r="D61" t="s">
        <v>4469</v>
      </c>
      <c r="E61" t="s">
        <v>4470</v>
      </c>
    </row>
    <row r="62" spans="1:5" ht="15.75" x14ac:dyDescent="0.25">
      <c r="A62" s="780" t="s">
        <v>5662</v>
      </c>
    </row>
    <row r="63" spans="1:5" x14ac:dyDescent="0.2">
      <c r="A63">
        <v>48</v>
      </c>
      <c r="B63" t="s">
        <v>5663</v>
      </c>
      <c r="C63" t="s">
        <v>3163</v>
      </c>
      <c r="D63" t="s">
        <v>5664</v>
      </c>
      <c r="E63" t="s">
        <v>5665</v>
      </c>
    </row>
    <row r="64" spans="1:5" x14ac:dyDescent="0.2">
      <c r="A64">
        <v>49</v>
      </c>
      <c r="B64" t="s">
        <v>5666</v>
      </c>
      <c r="C64" t="s">
        <v>3163</v>
      </c>
      <c r="D64" t="s">
        <v>5667</v>
      </c>
      <c r="E64" t="s">
        <v>5668</v>
      </c>
    </row>
    <row r="65" spans="1:5" x14ac:dyDescent="0.2">
      <c r="A65">
        <v>50</v>
      </c>
      <c r="B65" t="s">
        <v>5858</v>
      </c>
      <c r="C65" t="s">
        <v>3163</v>
      </c>
      <c r="D65" t="s">
        <v>5859</v>
      </c>
      <c r="E65" t="s">
        <v>5860</v>
      </c>
    </row>
    <row r="66" spans="1:5" x14ac:dyDescent="0.2">
      <c r="A66">
        <v>52</v>
      </c>
      <c r="B66" t="s">
        <v>6266</v>
      </c>
      <c r="C66" t="s">
        <v>3163</v>
      </c>
      <c r="D66" t="s">
        <v>6267</v>
      </c>
      <c r="E66" t="s">
        <v>6268</v>
      </c>
    </row>
    <row r="67" spans="1:5" ht="15.75" x14ac:dyDescent="0.25">
      <c r="A67" s="668" t="s">
        <v>6059</v>
      </c>
    </row>
    <row r="68" spans="1:5" x14ac:dyDescent="0.2">
      <c r="A68">
        <v>51</v>
      </c>
      <c r="B68" t="s">
        <v>6060</v>
      </c>
      <c r="C68" t="s">
        <v>6061</v>
      </c>
      <c r="D68" t="s">
        <v>6062</v>
      </c>
      <c r="E68" t="s">
        <v>6063</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C336C-AB7D-4C36-82C0-33DAE9FD029B}">
  <dimension ref="A1:V102"/>
  <sheetViews>
    <sheetView workbookViewId="0">
      <pane xSplit="2" ySplit="4" topLeftCell="C5" activePane="bottomRight" state="frozen"/>
      <selection pane="topRight" activeCell="C1" sqref="C1"/>
      <selection pane="bottomLeft" activeCell="A5" sqref="A5"/>
      <selection pane="bottomRight"/>
    </sheetView>
  </sheetViews>
  <sheetFormatPr defaultRowHeight="12.75" x14ac:dyDescent="0.2"/>
  <cols>
    <col min="1" max="1" width="137.140625" customWidth="1"/>
    <col min="2" max="2" width="22.85546875" customWidth="1"/>
    <col min="3" max="22" width="16.140625" customWidth="1"/>
  </cols>
  <sheetData>
    <row r="1" spans="1:22" ht="18" x14ac:dyDescent="0.25">
      <c r="A1" s="470" t="s">
        <v>1182</v>
      </c>
    </row>
    <row r="2" spans="1:22" x14ac:dyDescent="0.2">
      <c r="A2" s="537" t="s">
        <v>1183</v>
      </c>
    </row>
    <row r="3" spans="1:22" x14ac:dyDescent="0.2">
      <c r="A3" s="472" t="s">
        <v>335</v>
      </c>
      <c r="C3" s="621" t="s">
        <v>6</v>
      </c>
      <c r="D3" s="621" t="s">
        <v>7</v>
      </c>
      <c r="E3" s="621" t="s">
        <v>8</v>
      </c>
      <c r="F3" s="621" t="s">
        <v>9</v>
      </c>
      <c r="G3" s="621" t="s">
        <v>10</v>
      </c>
      <c r="H3" s="621" t="s">
        <v>240</v>
      </c>
      <c r="I3" s="621" t="s">
        <v>12</v>
      </c>
      <c r="J3" s="621" t="s">
        <v>13</v>
      </c>
      <c r="K3" s="621" t="s">
        <v>14</v>
      </c>
      <c r="L3" s="621" t="s">
        <v>15</v>
      </c>
      <c r="M3" s="621" t="s">
        <v>16</v>
      </c>
      <c r="N3" s="621" t="s">
        <v>17</v>
      </c>
      <c r="O3" s="621" t="s">
        <v>18</v>
      </c>
      <c r="P3" s="621" t="s">
        <v>19</v>
      </c>
      <c r="Q3" s="621" t="s">
        <v>20</v>
      </c>
      <c r="R3" s="621" t="s">
        <v>35</v>
      </c>
      <c r="S3" s="621" t="s">
        <v>210</v>
      </c>
      <c r="T3" s="621" t="s">
        <v>211</v>
      </c>
      <c r="U3" s="621" t="s">
        <v>45</v>
      </c>
      <c r="V3" s="621" t="s">
        <v>212</v>
      </c>
    </row>
    <row r="4" spans="1:22" x14ac:dyDescent="0.2">
      <c r="A4" s="472" t="s">
        <v>1013</v>
      </c>
      <c r="C4" s="611">
        <v>40</v>
      </c>
      <c r="D4" s="611">
        <v>41</v>
      </c>
      <c r="E4" s="611">
        <v>42</v>
      </c>
      <c r="F4" s="611">
        <v>43</v>
      </c>
      <c r="G4" s="611">
        <v>44</v>
      </c>
      <c r="H4" s="611">
        <v>45</v>
      </c>
      <c r="I4" s="611">
        <v>46</v>
      </c>
      <c r="J4" s="611">
        <v>47</v>
      </c>
      <c r="K4" s="611">
        <v>48</v>
      </c>
      <c r="L4" s="611">
        <v>49</v>
      </c>
      <c r="M4" s="611">
        <v>50</v>
      </c>
      <c r="N4" s="611">
        <v>51</v>
      </c>
      <c r="O4" s="611">
        <v>52</v>
      </c>
      <c r="P4" s="611">
        <v>53</v>
      </c>
      <c r="Q4" s="611">
        <v>54</v>
      </c>
      <c r="R4" s="611">
        <v>55</v>
      </c>
      <c r="S4" s="611">
        <v>56</v>
      </c>
      <c r="T4" s="611">
        <v>57</v>
      </c>
      <c r="U4" s="611">
        <v>58</v>
      </c>
      <c r="V4" s="611">
        <v>59</v>
      </c>
    </row>
    <row r="6" spans="1:22" ht="15" x14ac:dyDescent="0.25">
      <c r="A6" s="640" t="s">
        <v>1184</v>
      </c>
    </row>
    <row r="7" spans="1:22" x14ac:dyDescent="0.2">
      <c r="A7" s="472" t="s">
        <v>1024</v>
      </c>
      <c r="C7" s="642">
        <v>0.78700000000000003</v>
      </c>
      <c r="D7" s="642">
        <v>0.78700000000000003</v>
      </c>
      <c r="E7" s="642">
        <v>0.78700000000000003</v>
      </c>
      <c r="F7" s="642">
        <v>0.78700000000000003</v>
      </c>
      <c r="G7" s="642">
        <v>0.70899999999999996</v>
      </c>
      <c r="H7" s="642">
        <v>0.70899999999999996</v>
      </c>
      <c r="I7" s="642">
        <v>0.70899999999999996</v>
      </c>
      <c r="J7" s="642">
        <v>0.70899999999999996</v>
      </c>
      <c r="K7" s="642">
        <v>0.63</v>
      </c>
      <c r="L7" s="642">
        <v>0.63</v>
      </c>
      <c r="M7" s="642">
        <v>0.63</v>
      </c>
      <c r="N7" s="642">
        <v>0.63</v>
      </c>
      <c r="O7" s="642">
        <v>0.55100000000000005</v>
      </c>
      <c r="P7" s="642">
        <v>0.55100000000000005</v>
      </c>
      <c r="Q7" s="642">
        <v>0.55100000000000005</v>
      </c>
      <c r="R7" s="642">
        <v>0.55100000000000005</v>
      </c>
      <c r="S7" s="642">
        <v>0.47199999999999998</v>
      </c>
      <c r="T7" s="642">
        <v>0.47199999999999998</v>
      </c>
      <c r="U7" s="642">
        <v>0.47199999999999998</v>
      </c>
      <c r="V7" s="642">
        <v>0.47199999999999998</v>
      </c>
    </row>
    <row r="8" spans="1:22" x14ac:dyDescent="0.2">
      <c r="A8" s="472" t="s">
        <v>226</v>
      </c>
      <c r="C8" s="642">
        <v>0.17699999999999999</v>
      </c>
      <c r="D8" s="642">
        <v>0.17699999999999999</v>
      </c>
      <c r="E8" s="642">
        <v>0.17699999999999999</v>
      </c>
      <c r="F8" s="642">
        <v>0.17699999999999999</v>
      </c>
      <c r="G8" s="642">
        <v>0.157</v>
      </c>
      <c r="H8" s="642">
        <v>0.157</v>
      </c>
      <c r="I8" s="642">
        <v>0.157</v>
      </c>
      <c r="J8" s="642">
        <v>0.157</v>
      </c>
      <c r="K8" s="642">
        <v>0.13800000000000001</v>
      </c>
      <c r="L8" s="642">
        <v>0.13800000000000001</v>
      </c>
      <c r="M8" s="642">
        <v>0.13800000000000001</v>
      </c>
      <c r="N8" s="642">
        <v>0.13800000000000001</v>
      </c>
      <c r="O8" s="642">
        <v>0.11799999999999999</v>
      </c>
      <c r="P8" s="642">
        <v>0.11799999999999999</v>
      </c>
      <c r="Q8" s="642">
        <v>0.11799999999999999</v>
      </c>
      <c r="R8" s="642">
        <v>0.11799999999999999</v>
      </c>
      <c r="S8" s="642">
        <v>9.8000000000000004E-2</v>
      </c>
      <c r="T8" s="642">
        <v>9.8000000000000004E-2</v>
      </c>
      <c r="U8" s="642">
        <v>9.8000000000000004E-2</v>
      </c>
      <c r="V8" s="642">
        <v>9.8000000000000004E-2</v>
      </c>
    </row>
    <row r="9" spans="1:22" x14ac:dyDescent="0.2">
      <c r="A9" s="472" t="s">
        <v>1129</v>
      </c>
      <c r="C9" s="642">
        <f t="shared" ref="C9:V9" si="0">C7+2*C8</f>
        <v>1.141</v>
      </c>
      <c r="D9" s="642">
        <f t="shared" si="0"/>
        <v>1.141</v>
      </c>
      <c r="E9" s="642">
        <f t="shared" si="0"/>
        <v>1.141</v>
      </c>
      <c r="F9" s="642">
        <f t="shared" si="0"/>
        <v>1.141</v>
      </c>
      <c r="G9" s="642">
        <f t="shared" si="0"/>
        <v>1.0229999999999999</v>
      </c>
      <c r="H9" s="642">
        <f t="shared" si="0"/>
        <v>1.0229999999999999</v>
      </c>
      <c r="I9" s="642">
        <f t="shared" si="0"/>
        <v>1.0229999999999999</v>
      </c>
      <c r="J9" s="642">
        <f t="shared" si="0"/>
        <v>1.0229999999999999</v>
      </c>
      <c r="K9" s="642">
        <f t="shared" si="0"/>
        <v>0.90600000000000003</v>
      </c>
      <c r="L9" s="642">
        <f t="shared" si="0"/>
        <v>0.90600000000000003</v>
      </c>
      <c r="M9" s="642">
        <f t="shared" si="0"/>
        <v>0.90600000000000003</v>
      </c>
      <c r="N9" s="642">
        <f t="shared" si="0"/>
        <v>0.90600000000000003</v>
      </c>
      <c r="O9" s="642">
        <f t="shared" si="0"/>
        <v>0.78700000000000003</v>
      </c>
      <c r="P9" s="642">
        <f t="shared" si="0"/>
        <v>0.78700000000000003</v>
      </c>
      <c r="Q9" s="642">
        <f t="shared" si="0"/>
        <v>0.78700000000000003</v>
      </c>
      <c r="R9" s="642">
        <f t="shared" si="0"/>
        <v>0.78700000000000003</v>
      </c>
      <c r="S9" s="642">
        <f t="shared" si="0"/>
        <v>0.66799999999999993</v>
      </c>
      <c r="T9" s="642">
        <f t="shared" si="0"/>
        <v>0.66799999999999993</v>
      </c>
      <c r="U9" s="642">
        <f t="shared" si="0"/>
        <v>0.66799999999999993</v>
      </c>
      <c r="V9" s="642">
        <f t="shared" si="0"/>
        <v>0.66799999999999993</v>
      </c>
    </row>
    <row r="10" spans="1:22" x14ac:dyDescent="0.2">
      <c r="A10" s="472" t="s">
        <v>1185</v>
      </c>
      <c r="C10" s="643">
        <v>1.5</v>
      </c>
      <c r="D10" s="643">
        <v>1.5</v>
      </c>
      <c r="E10" s="643">
        <v>1.5</v>
      </c>
      <c r="F10" s="643">
        <v>1.5</v>
      </c>
      <c r="G10" s="643">
        <v>1.5</v>
      </c>
      <c r="H10" s="643">
        <v>1.5</v>
      </c>
      <c r="I10" s="643">
        <v>1.5</v>
      </c>
      <c r="J10" s="643">
        <v>1.5</v>
      </c>
      <c r="K10" s="643">
        <v>1.5</v>
      </c>
      <c r="L10" s="643">
        <v>1.5</v>
      </c>
      <c r="M10" s="643">
        <v>1.5</v>
      </c>
      <c r="N10" s="643">
        <v>1.5</v>
      </c>
      <c r="O10" s="643">
        <v>1.5</v>
      </c>
      <c r="P10" s="643">
        <v>1.5</v>
      </c>
      <c r="Q10" s="643">
        <v>1.5</v>
      </c>
      <c r="R10" s="643">
        <v>1.5</v>
      </c>
      <c r="S10" s="643">
        <v>1.5</v>
      </c>
      <c r="T10" s="643">
        <v>1.5</v>
      </c>
      <c r="U10" s="643">
        <v>1.5</v>
      </c>
      <c r="V10" s="643">
        <v>1.5</v>
      </c>
    </row>
    <row r="11" spans="1:22" x14ac:dyDescent="0.2">
      <c r="A11" s="472" t="s">
        <v>1186</v>
      </c>
      <c r="C11" s="642">
        <f t="shared" ref="C11:V11" si="1">0.7*C7</f>
        <v>0.55089999999999995</v>
      </c>
      <c r="D11" s="642">
        <f t="shared" si="1"/>
        <v>0.55089999999999995</v>
      </c>
      <c r="E11" s="642">
        <f t="shared" si="1"/>
        <v>0.55089999999999995</v>
      </c>
      <c r="F11" s="642">
        <f t="shared" si="1"/>
        <v>0.55089999999999995</v>
      </c>
      <c r="G11" s="642">
        <f t="shared" si="1"/>
        <v>0.49629999999999996</v>
      </c>
      <c r="H11" s="642">
        <f t="shared" si="1"/>
        <v>0.49629999999999996</v>
      </c>
      <c r="I11" s="642">
        <f t="shared" si="1"/>
        <v>0.49629999999999996</v>
      </c>
      <c r="J11" s="642">
        <f t="shared" si="1"/>
        <v>0.49629999999999996</v>
      </c>
      <c r="K11" s="642">
        <f t="shared" si="1"/>
        <v>0.44099999999999995</v>
      </c>
      <c r="L11" s="642">
        <f t="shared" si="1"/>
        <v>0.44099999999999995</v>
      </c>
      <c r="M11" s="642">
        <f t="shared" si="1"/>
        <v>0.44099999999999995</v>
      </c>
      <c r="N11" s="642">
        <f t="shared" si="1"/>
        <v>0.44099999999999995</v>
      </c>
      <c r="O11" s="642">
        <f t="shared" si="1"/>
        <v>0.38569999999999999</v>
      </c>
      <c r="P11" s="642">
        <f t="shared" si="1"/>
        <v>0.38569999999999999</v>
      </c>
      <c r="Q11" s="642">
        <f t="shared" si="1"/>
        <v>0.38569999999999999</v>
      </c>
      <c r="R11" s="642">
        <f t="shared" si="1"/>
        <v>0.38569999999999999</v>
      </c>
      <c r="S11" s="642">
        <f t="shared" si="1"/>
        <v>0.33039999999999997</v>
      </c>
      <c r="T11" s="642">
        <f t="shared" si="1"/>
        <v>0.33039999999999997</v>
      </c>
      <c r="U11" s="642">
        <f t="shared" si="1"/>
        <v>0.33039999999999997</v>
      </c>
      <c r="V11" s="642">
        <f t="shared" si="1"/>
        <v>0.33039999999999997</v>
      </c>
    </row>
    <row r="12" spans="1:22" x14ac:dyDescent="0.2">
      <c r="A12" s="472" t="s">
        <v>1187</v>
      </c>
      <c r="C12" s="642">
        <v>0.04</v>
      </c>
      <c r="D12" s="642">
        <v>0.04</v>
      </c>
      <c r="E12" s="642">
        <v>0.04</v>
      </c>
      <c r="F12" s="642">
        <v>0.04</v>
      </c>
      <c r="G12" s="642">
        <v>0.04</v>
      </c>
      <c r="H12" s="642">
        <v>0.04</v>
      </c>
      <c r="I12" s="642">
        <v>0.04</v>
      </c>
      <c r="J12" s="642">
        <v>0.04</v>
      </c>
      <c r="K12" s="642">
        <v>0.04</v>
      </c>
      <c r="L12" s="642">
        <v>0.04</v>
      </c>
      <c r="M12" s="642">
        <v>0.04</v>
      </c>
      <c r="N12" s="642">
        <v>0.04</v>
      </c>
      <c r="O12" s="642">
        <v>0.04</v>
      </c>
      <c r="P12" s="642">
        <v>0.04</v>
      </c>
      <c r="Q12" s="642">
        <v>0.04</v>
      </c>
      <c r="R12" s="642">
        <v>0.04</v>
      </c>
      <c r="S12" s="642">
        <v>0.04</v>
      </c>
      <c r="T12" s="642">
        <v>0.04</v>
      </c>
      <c r="U12" s="642">
        <v>0.04</v>
      </c>
      <c r="V12" s="642">
        <v>0.04</v>
      </c>
    </row>
    <row r="13" spans="1:22" x14ac:dyDescent="0.2">
      <c r="A13" s="472" t="s">
        <v>1188</v>
      </c>
      <c r="C13" s="644" t="s">
        <v>1203</v>
      </c>
      <c r="D13" s="644" t="s">
        <v>1203</v>
      </c>
      <c r="E13" s="644" t="s">
        <v>1203</v>
      </c>
      <c r="F13" s="644" t="s">
        <v>1203</v>
      </c>
      <c r="G13" s="644" t="s">
        <v>1203</v>
      </c>
      <c r="H13" s="644" t="s">
        <v>1203</v>
      </c>
      <c r="I13" s="644" t="s">
        <v>1203</v>
      </c>
      <c r="J13" s="644" t="s">
        <v>1203</v>
      </c>
      <c r="K13" s="644" t="s">
        <v>1203</v>
      </c>
      <c r="L13" s="644" t="s">
        <v>1203</v>
      </c>
      <c r="M13" s="644" t="s">
        <v>1203</v>
      </c>
      <c r="N13" s="644" t="s">
        <v>1203</v>
      </c>
      <c r="O13" s="644" t="s">
        <v>1203</v>
      </c>
      <c r="P13" s="644" t="s">
        <v>1203</v>
      </c>
      <c r="Q13" s="644" t="s">
        <v>1203</v>
      </c>
      <c r="R13" s="644" t="s">
        <v>1203</v>
      </c>
      <c r="S13" s="644" t="s">
        <v>1203</v>
      </c>
      <c r="T13" s="644" t="s">
        <v>1203</v>
      </c>
      <c r="U13" s="644" t="s">
        <v>1203</v>
      </c>
      <c r="V13" s="644" t="s">
        <v>1203</v>
      </c>
    </row>
    <row r="15" spans="1:22" ht="15" x14ac:dyDescent="0.25">
      <c r="A15" s="614" t="s">
        <v>1189</v>
      </c>
    </row>
    <row r="16" spans="1:22" x14ac:dyDescent="0.2">
      <c r="A16" s="472" t="s">
        <v>1190</v>
      </c>
      <c r="C16" s="645">
        <v>0.5</v>
      </c>
      <c r="D16" s="645">
        <v>0.5</v>
      </c>
      <c r="E16" s="645">
        <v>0.5</v>
      </c>
      <c r="F16" s="645">
        <v>0.5</v>
      </c>
      <c r="G16" s="645">
        <v>0.5</v>
      </c>
      <c r="H16" s="645">
        <v>0.5</v>
      </c>
      <c r="I16" s="645">
        <v>0.5</v>
      </c>
      <c r="J16" s="645">
        <v>0.5</v>
      </c>
      <c r="K16" s="645">
        <v>0.5</v>
      </c>
      <c r="L16" s="645">
        <v>0.5</v>
      </c>
      <c r="M16" s="645">
        <v>0.5</v>
      </c>
      <c r="N16" s="645">
        <v>0.5</v>
      </c>
      <c r="O16" s="645">
        <v>0.5</v>
      </c>
      <c r="P16" s="645">
        <v>0.5</v>
      </c>
      <c r="Q16" s="645">
        <v>0.5</v>
      </c>
      <c r="R16" s="645">
        <v>0.5</v>
      </c>
      <c r="S16" s="645">
        <v>0.438</v>
      </c>
      <c r="T16" s="645">
        <v>0.438</v>
      </c>
      <c r="U16" s="645">
        <v>0.438</v>
      </c>
      <c r="V16" s="645">
        <v>0.438</v>
      </c>
    </row>
    <row r="17" spans="1:22" x14ac:dyDescent="0.2">
      <c r="A17" s="472" t="s">
        <v>1191</v>
      </c>
      <c r="C17" s="645">
        <v>1.375</v>
      </c>
      <c r="D17" s="645">
        <v>1.375</v>
      </c>
      <c r="E17" s="645">
        <v>1.375</v>
      </c>
      <c r="F17" s="645">
        <v>1.375</v>
      </c>
      <c r="G17" s="645">
        <v>1.181</v>
      </c>
      <c r="H17" s="645">
        <v>1.181</v>
      </c>
      <c r="I17" s="645">
        <v>1.181</v>
      </c>
      <c r="J17" s="645">
        <v>1.181</v>
      </c>
      <c r="K17" s="645">
        <v>0.78700000000000003</v>
      </c>
      <c r="L17" s="645">
        <v>0.78700000000000003</v>
      </c>
      <c r="M17" s="645">
        <v>0.78700000000000003</v>
      </c>
      <c r="N17" s="645">
        <v>0.78700000000000003</v>
      </c>
      <c r="O17" s="645">
        <v>0.78700000000000003</v>
      </c>
      <c r="P17" s="645">
        <v>0.78700000000000003</v>
      </c>
      <c r="Q17" s="645">
        <v>0.78700000000000003</v>
      </c>
      <c r="R17" s="645">
        <v>0.78700000000000003</v>
      </c>
      <c r="S17" s="645">
        <v>0.66900000000000004</v>
      </c>
      <c r="T17" s="645">
        <v>0.66900000000000004</v>
      </c>
      <c r="U17" s="645">
        <v>0.66900000000000004</v>
      </c>
      <c r="V17" s="645">
        <v>0.66900000000000004</v>
      </c>
    </row>
    <row r="18" spans="1:22" x14ac:dyDescent="0.2">
      <c r="A18" s="472" t="s">
        <v>1192</v>
      </c>
      <c r="C18" s="645">
        <v>1.375</v>
      </c>
      <c r="D18" s="645">
        <v>1.375</v>
      </c>
      <c r="E18" s="645">
        <v>1.375</v>
      </c>
      <c r="F18" s="645">
        <v>1.375</v>
      </c>
      <c r="G18" s="645">
        <v>1.181</v>
      </c>
      <c r="H18" s="645">
        <v>1.181</v>
      </c>
      <c r="I18" s="645">
        <v>1.181</v>
      </c>
      <c r="J18" s="645">
        <v>1.181</v>
      </c>
      <c r="K18" s="645">
        <v>1.181</v>
      </c>
      <c r="L18" s="645">
        <v>1.181</v>
      </c>
      <c r="M18" s="645">
        <v>1.181</v>
      </c>
      <c r="N18" s="645">
        <v>1.181</v>
      </c>
      <c r="O18" s="645">
        <v>1</v>
      </c>
      <c r="P18" s="645">
        <v>1</v>
      </c>
      <c r="Q18" s="645">
        <v>1</v>
      </c>
      <c r="R18" s="645">
        <v>1</v>
      </c>
      <c r="S18" s="645">
        <v>0.86599999999999999</v>
      </c>
      <c r="T18" s="645">
        <v>0.86599999999999999</v>
      </c>
      <c r="U18" s="645">
        <v>0.86599999999999999</v>
      </c>
      <c r="V18" s="645">
        <v>0.86599999999999999</v>
      </c>
    </row>
    <row r="19" spans="1:22" x14ac:dyDescent="0.2">
      <c r="A19" s="472" t="s">
        <v>1193</v>
      </c>
      <c r="C19" s="645">
        <f t="shared" ref="C19:V19" si="2">(C17-C16)/2</f>
        <v>0.4375</v>
      </c>
      <c r="D19" s="645">
        <f t="shared" si="2"/>
        <v>0.4375</v>
      </c>
      <c r="E19" s="645">
        <f t="shared" si="2"/>
        <v>0.4375</v>
      </c>
      <c r="F19" s="645">
        <f t="shared" si="2"/>
        <v>0.4375</v>
      </c>
      <c r="G19" s="645">
        <f t="shared" si="2"/>
        <v>0.34050000000000002</v>
      </c>
      <c r="H19" s="645">
        <f t="shared" si="2"/>
        <v>0.34050000000000002</v>
      </c>
      <c r="I19" s="645">
        <f t="shared" si="2"/>
        <v>0.34050000000000002</v>
      </c>
      <c r="J19" s="645">
        <f t="shared" si="2"/>
        <v>0.34050000000000002</v>
      </c>
      <c r="K19" s="645">
        <f t="shared" si="2"/>
        <v>0.14350000000000002</v>
      </c>
      <c r="L19" s="645">
        <f t="shared" si="2"/>
        <v>0.14350000000000002</v>
      </c>
      <c r="M19" s="645">
        <f t="shared" si="2"/>
        <v>0.14350000000000002</v>
      </c>
      <c r="N19" s="645">
        <f t="shared" si="2"/>
        <v>0.14350000000000002</v>
      </c>
      <c r="O19" s="645">
        <f t="shared" si="2"/>
        <v>0.14350000000000002</v>
      </c>
      <c r="P19" s="645">
        <f t="shared" si="2"/>
        <v>0.14350000000000002</v>
      </c>
      <c r="Q19" s="645">
        <f t="shared" si="2"/>
        <v>0.14350000000000002</v>
      </c>
      <c r="R19" s="645">
        <f t="shared" si="2"/>
        <v>0.14350000000000002</v>
      </c>
      <c r="S19" s="645">
        <f t="shared" si="2"/>
        <v>0.11550000000000002</v>
      </c>
      <c r="T19" s="645">
        <f t="shared" si="2"/>
        <v>0.11550000000000002</v>
      </c>
      <c r="U19" s="645">
        <f t="shared" si="2"/>
        <v>0.11550000000000002</v>
      </c>
      <c r="V19" s="645">
        <f t="shared" si="2"/>
        <v>0.11550000000000002</v>
      </c>
    </row>
    <row r="20" spans="1:22" x14ac:dyDescent="0.2">
      <c r="A20" s="472" t="s">
        <v>1194</v>
      </c>
      <c r="C20" s="645">
        <v>1.25</v>
      </c>
      <c r="D20" s="645">
        <v>1.25</v>
      </c>
      <c r="E20" s="645">
        <v>1.25</v>
      </c>
      <c r="F20" s="645">
        <v>1.25</v>
      </c>
      <c r="G20" s="645">
        <v>1.25</v>
      </c>
      <c r="H20" s="645">
        <v>1.25</v>
      </c>
      <c r="I20" s="645">
        <v>1.25</v>
      </c>
      <c r="J20" s="645">
        <v>1.25</v>
      </c>
      <c r="K20" s="645">
        <v>1.25</v>
      </c>
      <c r="L20" s="645">
        <v>1.25</v>
      </c>
      <c r="M20" s="645">
        <v>1.25</v>
      </c>
      <c r="N20" s="645">
        <v>1.25</v>
      </c>
      <c r="O20" s="645">
        <v>1.25</v>
      </c>
      <c r="P20" s="645">
        <v>1.25</v>
      </c>
      <c r="Q20" s="645">
        <v>1.25</v>
      </c>
      <c r="R20" s="645">
        <v>1.25</v>
      </c>
      <c r="S20" s="645">
        <v>1.25</v>
      </c>
      <c r="T20" s="645">
        <v>1.25</v>
      </c>
      <c r="U20" s="645">
        <v>1.25</v>
      </c>
      <c r="V20" s="645">
        <v>1.25</v>
      </c>
    </row>
    <row r="21" spans="1:22" x14ac:dyDescent="0.2">
      <c r="A21" s="472" t="s">
        <v>1195</v>
      </c>
      <c r="C21" s="647" t="s">
        <v>1204</v>
      </c>
      <c r="D21" s="647" t="s">
        <v>1204</v>
      </c>
      <c r="E21" s="647" t="s">
        <v>1204</v>
      </c>
      <c r="F21" s="647" t="s">
        <v>1204</v>
      </c>
      <c r="G21" s="647" t="s">
        <v>1204</v>
      </c>
      <c r="H21" s="647" t="s">
        <v>1204</v>
      </c>
      <c r="I21" s="647" t="s">
        <v>1204</v>
      </c>
      <c r="J21" s="647" t="s">
        <v>1204</v>
      </c>
      <c r="K21" s="647" t="s">
        <v>1206</v>
      </c>
      <c r="L21" s="647" t="s">
        <v>1206</v>
      </c>
      <c r="M21" s="647" t="s">
        <v>1206</v>
      </c>
      <c r="N21" s="647" t="s">
        <v>1206</v>
      </c>
      <c r="O21" s="647" t="s">
        <v>1207</v>
      </c>
      <c r="P21" s="647" t="s">
        <v>1207</v>
      </c>
      <c r="Q21" s="647" t="s">
        <v>1207</v>
      </c>
      <c r="R21" s="647" t="s">
        <v>1207</v>
      </c>
      <c r="S21" s="647" t="s">
        <v>1207</v>
      </c>
      <c r="T21" s="647" t="s">
        <v>1207</v>
      </c>
      <c r="U21" s="647" t="s">
        <v>1207</v>
      </c>
      <c r="V21" s="647" t="s">
        <v>1207</v>
      </c>
    </row>
    <row r="22" spans="1:22" x14ac:dyDescent="0.2">
      <c r="A22" s="472" t="s">
        <v>1188</v>
      </c>
      <c r="C22" s="647" t="s">
        <v>1205</v>
      </c>
      <c r="D22" s="647" t="s">
        <v>1205</v>
      </c>
      <c r="E22" s="647" t="s">
        <v>1205</v>
      </c>
      <c r="F22" s="647" t="s">
        <v>1205</v>
      </c>
      <c r="G22" s="647" t="s">
        <v>1205</v>
      </c>
      <c r="H22" s="647" t="s">
        <v>1205</v>
      </c>
      <c r="I22" s="647" t="s">
        <v>1205</v>
      </c>
      <c r="J22" s="647" t="s">
        <v>1205</v>
      </c>
      <c r="K22" s="647" t="s">
        <v>1205</v>
      </c>
      <c r="L22" s="647" t="s">
        <v>1205</v>
      </c>
      <c r="M22" s="647" t="s">
        <v>1205</v>
      </c>
      <c r="N22" s="647" t="s">
        <v>1205</v>
      </c>
      <c r="O22" s="647" t="s">
        <v>1205</v>
      </c>
      <c r="P22" s="647" t="s">
        <v>1205</v>
      </c>
      <c r="Q22" s="647" t="s">
        <v>1205</v>
      </c>
      <c r="R22" s="647" t="s">
        <v>1205</v>
      </c>
      <c r="S22" s="647" t="s">
        <v>1205</v>
      </c>
      <c r="T22" s="647" t="s">
        <v>1205</v>
      </c>
      <c r="U22" s="647" t="s">
        <v>1205</v>
      </c>
      <c r="V22" s="647" t="s">
        <v>1205</v>
      </c>
    </row>
    <row r="24" spans="1:22" ht="15" x14ac:dyDescent="0.25">
      <c r="A24" s="603" t="s">
        <v>1196</v>
      </c>
    </row>
    <row r="25" spans="1:22" x14ac:dyDescent="0.2">
      <c r="A25" s="472" t="s">
        <v>1197</v>
      </c>
      <c r="C25" s="649">
        <v>6.25E-2</v>
      </c>
      <c r="D25" s="649">
        <v>6.25E-2</v>
      </c>
      <c r="E25" s="649">
        <v>6.25E-2</v>
      </c>
      <c r="F25" s="649">
        <v>6.25E-2</v>
      </c>
      <c r="G25" s="649">
        <v>6.25E-2</v>
      </c>
      <c r="H25" s="649">
        <v>6.25E-2</v>
      </c>
      <c r="I25" s="649">
        <v>6.25E-2</v>
      </c>
      <c r="J25" s="649">
        <v>6.25E-2</v>
      </c>
      <c r="K25" s="649">
        <v>6.25E-2</v>
      </c>
      <c r="L25" s="649">
        <v>6.25E-2</v>
      </c>
      <c r="M25" s="649">
        <v>6.25E-2</v>
      </c>
      <c r="N25" s="649">
        <v>6.25E-2</v>
      </c>
      <c r="O25" s="649">
        <v>6.25E-2</v>
      </c>
      <c r="P25" s="649">
        <v>6.25E-2</v>
      </c>
      <c r="Q25" s="649">
        <v>6.25E-2</v>
      </c>
      <c r="R25" s="649">
        <v>6.25E-2</v>
      </c>
      <c r="S25" s="649">
        <v>6.25E-2</v>
      </c>
      <c r="T25" s="649">
        <v>6.25E-2</v>
      </c>
      <c r="U25" s="649">
        <v>6.25E-2</v>
      </c>
      <c r="V25" s="649">
        <v>6.25E-2</v>
      </c>
    </row>
    <row r="26" spans="1:22" x14ac:dyDescent="0.2">
      <c r="A26" s="472" t="s">
        <v>1198</v>
      </c>
      <c r="C26" s="650">
        <f t="shared" ref="C26:V26" si="3">C17*0.8</f>
        <v>1.1000000000000001</v>
      </c>
      <c r="D26" s="650">
        <f t="shared" si="3"/>
        <v>1.1000000000000001</v>
      </c>
      <c r="E26" s="650">
        <f t="shared" si="3"/>
        <v>1.1000000000000001</v>
      </c>
      <c r="F26" s="650">
        <f t="shared" si="3"/>
        <v>1.1000000000000001</v>
      </c>
      <c r="G26" s="650">
        <f t="shared" si="3"/>
        <v>0.94480000000000008</v>
      </c>
      <c r="H26" s="650">
        <f t="shared" si="3"/>
        <v>0.94480000000000008</v>
      </c>
      <c r="I26" s="650">
        <f t="shared" si="3"/>
        <v>0.94480000000000008</v>
      </c>
      <c r="J26" s="650">
        <f t="shared" si="3"/>
        <v>0.94480000000000008</v>
      </c>
      <c r="K26" s="650">
        <f t="shared" si="3"/>
        <v>0.62960000000000005</v>
      </c>
      <c r="L26" s="650">
        <f t="shared" si="3"/>
        <v>0.62960000000000005</v>
      </c>
      <c r="M26" s="650">
        <f t="shared" si="3"/>
        <v>0.62960000000000005</v>
      </c>
      <c r="N26" s="650">
        <f t="shared" si="3"/>
        <v>0.62960000000000005</v>
      </c>
      <c r="O26" s="650">
        <f t="shared" si="3"/>
        <v>0.62960000000000005</v>
      </c>
      <c r="P26" s="650">
        <f t="shared" si="3"/>
        <v>0.62960000000000005</v>
      </c>
      <c r="Q26" s="650">
        <f t="shared" si="3"/>
        <v>0.62960000000000005</v>
      </c>
      <c r="R26" s="650">
        <f t="shared" si="3"/>
        <v>0.62960000000000005</v>
      </c>
      <c r="S26" s="650">
        <f t="shared" si="3"/>
        <v>0.53520000000000001</v>
      </c>
      <c r="T26" s="650">
        <f t="shared" si="3"/>
        <v>0.53520000000000001</v>
      </c>
      <c r="U26" s="650">
        <f t="shared" si="3"/>
        <v>0.53520000000000001</v>
      </c>
      <c r="V26" s="650">
        <f t="shared" si="3"/>
        <v>0.53520000000000001</v>
      </c>
    </row>
    <row r="27" spans="1:22" x14ac:dyDescent="0.2">
      <c r="A27" s="472" t="s">
        <v>1199</v>
      </c>
      <c r="C27" s="650">
        <f t="shared" ref="C27:V27" si="4">C19-C25</f>
        <v>0.375</v>
      </c>
      <c r="D27" s="650">
        <f t="shared" si="4"/>
        <v>0.375</v>
      </c>
      <c r="E27" s="650">
        <f t="shared" si="4"/>
        <v>0.375</v>
      </c>
      <c r="F27" s="650">
        <f t="shared" si="4"/>
        <v>0.375</v>
      </c>
      <c r="G27" s="650">
        <f t="shared" si="4"/>
        <v>0.27800000000000002</v>
      </c>
      <c r="H27" s="650">
        <f t="shared" si="4"/>
        <v>0.27800000000000002</v>
      </c>
      <c r="I27" s="650">
        <f t="shared" si="4"/>
        <v>0.27800000000000002</v>
      </c>
      <c r="J27" s="650">
        <f t="shared" si="4"/>
        <v>0.27800000000000002</v>
      </c>
      <c r="K27" s="650">
        <f t="shared" si="4"/>
        <v>8.1000000000000016E-2</v>
      </c>
      <c r="L27" s="650">
        <f t="shared" si="4"/>
        <v>8.1000000000000016E-2</v>
      </c>
      <c r="M27" s="650">
        <f t="shared" si="4"/>
        <v>8.1000000000000016E-2</v>
      </c>
      <c r="N27" s="650">
        <f t="shared" si="4"/>
        <v>8.1000000000000016E-2</v>
      </c>
      <c r="O27" s="650">
        <f t="shared" si="4"/>
        <v>8.1000000000000016E-2</v>
      </c>
      <c r="P27" s="650">
        <f t="shared" si="4"/>
        <v>8.1000000000000016E-2</v>
      </c>
      <c r="Q27" s="650">
        <f t="shared" si="4"/>
        <v>8.1000000000000016E-2</v>
      </c>
      <c r="R27" s="650">
        <f t="shared" si="4"/>
        <v>8.1000000000000016E-2</v>
      </c>
      <c r="S27" s="650">
        <f t="shared" si="4"/>
        <v>5.3000000000000019E-2</v>
      </c>
      <c r="T27" s="650">
        <f t="shared" si="4"/>
        <v>5.3000000000000019E-2</v>
      </c>
      <c r="U27" s="650">
        <f t="shared" si="4"/>
        <v>5.3000000000000019E-2</v>
      </c>
      <c r="V27" s="650">
        <f t="shared" si="4"/>
        <v>5.3000000000000019E-2</v>
      </c>
    </row>
    <row r="28" spans="1:22" x14ac:dyDescent="0.2">
      <c r="A28" s="472" t="s">
        <v>1200</v>
      </c>
      <c r="C28" s="649">
        <v>6.25E-2</v>
      </c>
      <c r="D28" s="649">
        <v>6.25E-2</v>
      </c>
      <c r="E28" s="649">
        <v>6.25E-2</v>
      </c>
      <c r="F28" s="649">
        <v>6.25E-2</v>
      </c>
      <c r="G28" s="649">
        <v>6.25E-2</v>
      </c>
      <c r="H28" s="649">
        <v>6.25E-2</v>
      </c>
      <c r="I28" s="649">
        <v>6.25E-2</v>
      </c>
      <c r="J28" s="649">
        <v>6.25E-2</v>
      </c>
      <c r="K28" s="649">
        <v>6.25E-2</v>
      </c>
      <c r="L28" s="649">
        <v>6.25E-2</v>
      </c>
      <c r="M28" s="649">
        <v>6.25E-2</v>
      </c>
      <c r="N28" s="649">
        <v>6.25E-2</v>
      </c>
      <c r="O28" s="649">
        <v>6.25E-2</v>
      </c>
      <c r="P28" s="649">
        <v>6.25E-2</v>
      </c>
      <c r="Q28" s="649">
        <v>6.25E-2</v>
      </c>
      <c r="R28" s="649">
        <v>6.25E-2</v>
      </c>
      <c r="S28" s="649">
        <v>6.25E-2</v>
      </c>
      <c r="T28" s="649">
        <v>6.25E-2</v>
      </c>
      <c r="U28" s="649">
        <v>6.25E-2</v>
      </c>
      <c r="V28" s="649">
        <v>6.25E-2</v>
      </c>
    </row>
    <row r="29" spans="1:22" x14ac:dyDescent="0.2">
      <c r="A29" s="472" t="s">
        <v>1201</v>
      </c>
      <c r="C29" s="651">
        <v>3.125E-2</v>
      </c>
      <c r="D29" s="651">
        <v>3.125E-2</v>
      </c>
      <c r="E29" s="651">
        <v>3.125E-2</v>
      </c>
      <c r="F29" s="651">
        <v>3.125E-2</v>
      </c>
      <c r="G29" s="651">
        <v>3.125E-2</v>
      </c>
      <c r="H29" s="651">
        <v>3.125E-2</v>
      </c>
      <c r="I29" s="651">
        <v>3.125E-2</v>
      </c>
      <c r="J29" s="651">
        <v>3.125E-2</v>
      </c>
      <c r="K29" s="651">
        <v>3.125E-2</v>
      </c>
      <c r="L29" s="651">
        <v>3.125E-2</v>
      </c>
      <c r="M29" s="651">
        <v>3.125E-2</v>
      </c>
      <c r="N29" s="651">
        <v>3.125E-2</v>
      </c>
      <c r="O29" s="651">
        <v>3.125E-2</v>
      </c>
      <c r="P29" s="651">
        <v>3.125E-2</v>
      </c>
      <c r="Q29" s="651">
        <v>3.125E-2</v>
      </c>
      <c r="R29" s="651">
        <v>3.125E-2</v>
      </c>
      <c r="S29" s="651">
        <v>3.125E-2</v>
      </c>
      <c r="T29" s="651">
        <v>3.125E-2</v>
      </c>
      <c r="U29" s="651">
        <v>3.125E-2</v>
      </c>
      <c r="V29" s="651">
        <v>3.125E-2</v>
      </c>
    </row>
    <row r="31" spans="1:22" ht="15" x14ac:dyDescent="0.25">
      <c r="A31" s="602" t="s">
        <v>910</v>
      </c>
    </row>
    <row r="32" spans="1:22" x14ac:dyDescent="0.2">
      <c r="A32" s="472" t="s">
        <v>1104</v>
      </c>
      <c r="C32" s="482">
        <f t="shared" ref="C32:V32" si="5">13552/(2*((2^(1/12))^(C4-49))*440)</f>
        <v>25.899609589814411</v>
      </c>
      <c r="D32" s="482">
        <f t="shared" si="5"/>
        <v>24.445976200310273</v>
      </c>
      <c r="E32" s="482">
        <f t="shared" si="5"/>
        <v>23.073928983900899</v>
      </c>
      <c r="F32" s="482">
        <f t="shared" si="5"/>
        <v>21.778888860545667</v>
      </c>
      <c r="G32" s="482">
        <f t="shared" si="5"/>
        <v>20.556533754218531</v>
      </c>
      <c r="H32" s="482">
        <f t="shared" si="5"/>
        <v>19.402784168381046</v>
      </c>
      <c r="I32" s="482">
        <f t="shared" si="5"/>
        <v>18.313789571041909</v>
      </c>
      <c r="J32" s="482">
        <f t="shared" si="5"/>
        <v>17.285915543964347</v>
      </c>
      <c r="K32" s="482">
        <f t="shared" si="5"/>
        <v>16.315731653133149</v>
      </c>
      <c r="L32" s="482">
        <f t="shared" si="5"/>
        <v>15.4</v>
      </c>
      <c r="M32" s="482">
        <f t="shared" si="5"/>
        <v>14.535664415298079</v>
      </c>
      <c r="N32" s="482">
        <f t="shared" si="5"/>
        <v>13.719840259361225</v>
      </c>
      <c r="O32" s="482">
        <f t="shared" si="5"/>
        <v>12.949804794907202</v>
      </c>
      <c r="P32" s="482">
        <f t="shared" si="5"/>
        <v>12.222988100155137</v>
      </c>
      <c r="Q32" s="482">
        <f t="shared" si="5"/>
        <v>11.536964491950448</v>
      </c>
      <c r="R32" s="482">
        <f t="shared" si="5"/>
        <v>10.889444430272832</v>
      </c>
      <c r="S32" s="482">
        <f t="shared" si="5"/>
        <v>10.278266877109264</v>
      </c>
      <c r="T32" s="482">
        <f t="shared" si="5"/>
        <v>9.7013920841905232</v>
      </c>
      <c r="U32" s="482">
        <f t="shared" si="5"/>
        <v>9.1568947855209508</v>
      </c>
      <c r="V32" s="482">
        <f t="shared" si="5"/>
        <v>8.6429577719821715</v>
      </c>
    </row>
    <row r="33" spans="1:22" x14ac:dyDescent="0.2">
      <c r="A33" s="472" t="s">
        <v>1105</v>
      </c>
      <c r="C33" s="482">
        <f t="shared" ref="C33:V33" si="6">0.6*(C7/2)</f>
        <v>0.2361</v>
      </c>
      <c r="D33" s="482">
        <f t="shared" si="6"/>
        <v>0.2361</v>
      </c>
      <c r="E33" s="482">
        <f t="shared" si="6"/>
        <v>0.2361</v>
      </c>
      <c r="F33" s="482">
        <f t="shared" si="6"/>
        <v>0.2361</v>
      </c>
      <c r="G33" s="482">
        <f t="shared" si="6"/>
        <v>0.21269999999999997</v>
      </c>
      <c r="H33" s="482">
        <f t="shared" si="6"/>
        <v>0.21269999999999997</v>
      </c>
      <c r="I33" s="482">
        <f t="shared" si="6"/>
        <v>0.21269999999999997</v>
      </c>
      <c r="J33" s="482">
        <f t="shared" si="6"/>
        <v>0.21269999999999997</v>
      </c>
      <c r="K33" s="482">
        <f t="shared" si="6"/>
        <v>0.189</v>
      </c>
      <c r="L33" s="482">
        <f t="shared" si="6"/>
        <v>0.189</v>
      </c>
      <c r="M33" s="482">
        <f t="shared" si="6"/>
        <v>0.189</v>
      </c>
      <c r="N33" s="482">
        <f t="shared" si="6"/>
        <v>0.189</v>
      </c>
      <c r="O33" s="482">
        <f t="shared" si="6"/>
        <v>0.1653</v>
      </c>
      <c r="P33" s="482">
        <f t="shared" si="6"/>
        <v>0.1653</v>
      </c>
      <c r="Q33" s="482">
        <f t="shared" si="6"/>
        <v>0.1653</v>
      </c>
      <c r="R33" s="482">
        <f t="shared" si="6"/>
        <v>0.1653</v>
      </c>
      <c r="S33" s="482">
        <f t="shared" si="6"/>
        <v>0.14159999999999998</v>
      </c>
      <c r="T33" s="482">
        <f t="shared" si="6"/>
        <v>0.14159999999999998</v>
      </c>
      <c r="U33" s="482">
        <f t="shared" si="6"/>
        <v>0.14159999999999998</v>
      </c>
      <c r="V33" s="482">
        <f t="shared" si="6"/>
        <v>0.14159999999999998</v>
      </c>
    </row>
    <row r="35" spans="1:22" ht="15" x14ac:dyDescent="0.25">
      <c r="A35" s="603" t="s">
        <v>1202</v>
      </c>
    </row>
    <row r="36" spans="1:22" x14ac:dyDescent="0.2">
      <c r="A36" s="472" t="s">
        <v>239</v>
      </c>
      <c r="C36" s="472" t="s">
        <v>6</v>
      </c>
      <c r="D36" s="472" t="s">
        <v>7</v>
      </c>
      <c r="E36" s="472" t="s">
        <v>8</v>
      </c>
      <c r="F36" s="472" t="s">
        <v>9</v>
      </c>
      <c r="G36" s="472" t="s">
        <v>10</v>
      </c>
      <c r="H36" s="472" t="s">
        <v>240</v>
      </c>
      <c r="I36" s="472" t="s">
        <v>12</v>
      </c>
      <c r="J36" s="472" t="s">
        <v>13</v>
      </c>
      <c r="K36" s="472" t="s">
        <v>14</v>
      </c>
      <c r="L36" s="472" t="s">
        <v>15</v>
      </c>
      <c r="M36" s="472" t="s">
        <v>16</v>
      </c>
      <c r="N36" s="472" t="s">
        <v>17</v>
      </c>
      <c r="O36" s="472" t="s">
        <v>18</v>
      </c>
      <c r="P36" s="472" t="s">
        <v>19</v>
      </c>
      <c r="Q36" s="472" t="s">
        <v>20</v>
      </c>
      <c r="R36" s="472" t="s">
        <v>35</v>
      </c>
      <c r="S36" s="472" t="s">
        <v>210</v>
      </c>
      <c r="T36" s="472" t="s">
        <v>211</v>
      </c>
      <c r="U36" s="472" t="s">
        <v>45</v>
      </c>
      <c r="V36" s="472" t="s">
        <v>212</v>
      </c>
    </row>
    <row r="37" spans="1:22" x14ac:dyDescent="0.2">
      <c r="A37" s="472" t="s">
        <v>1107</v>
      </c>
      <c r="C37" s="469">
        <f t="shared" ref="C37:V37" si="7">((2^(1/12))^(C4-49))*440</f>
        <v>261.62556530059862</v>
      </c>
      <c r="D37" s="469">
        <f t="shared" si="7"/>
        <v>277.18263097687208</v>
      </c>
      <c r="E37" s="469">
        <f t="shared" si="7"/>
        <v>293.66476791740752</v>
      </c>
      <c r="F37" s="469">
        <f t="shared" si="7"/>
        <v>311.12698372208087</v>
      </c>
      <c r="G37" s="469">
        <f t="shared" si="7"/>
        <v>329.62755691286992</v>
      </c>
      <c r="H37" s="469">
        <f t="shared" si="7"/>
        <v>349.22823143300388</v>
      </c>
      <c r="I37" s="469">
        <f t="shared" si="7"/>
        <v>369.99442271163434</v>
      </c>
      <c r="J37" s="469">
        <f t="shared" si="7"/>
        <v>391.99543598174927</v>
      </c>
      <c r="K37" s="469">
        <f t="shared" si="7"/>
        <v>415.30469757994513</v>
      </c>
      <c r="L37" s="469">
        <f t="shared" si="7"/>
        <v>440</v>
      </c>
      <c r="M37" s="469">
        <f t="shared" si="7"/>
        <v>466.16376151808993</v>
      </c>
      <c r="N37" s="469">
        <f t="shared" si="7"/>
        <v>493.88330125612413</v>
      </c>
      <c r="O37" s="469">
        <f t="shared" si="7"/>
        <v>523.25113060119736</v>
      </c>
      <c r="P37" s="469">
        <f t="shared" si="7"/>
        <v>554.36526195374415</v>
      </c>
      <c r="Q37" s="469">
        <f t="shared" si="7"/>
        <v>587.32953583481515</v>
      </c>
      <c r="R37" s="469">
        <f t="shared" si="7"/>
        <v>622.25396744416184</v>
      </c>
      <c r="S37" s="469">
        <f t="shared" si="7"/>
        <v>659.25511382573995</v>
      </c>
      <c r="T37" s="469">
        <f t="shared" si="7"/>
        <v>698.45646286600777</v>
      </c>
      <c r="U37" s="469">
        <f t="shared" si="7"/>
        <v>739.98884542326891</v>
      </c>
      <c r="V37" s="469">
        <f t="shared" si="7"/>
        <v>783.99087196349865</v>
      </c>
    </row>
    <row r="38" spans="1:22" x14ac:dyDescent="0.2">
      <c r="A38" s="604" t="s">
        <v>242</v>
      </c>
      <c r="B38" s="537" t="s">
        <v>785</v>
      </c>
      <c r="C38" t="s">
        <v>8</v>
      </c>
      <c r="D38" t="s">
        <v>937</v>
      </c>
      <c r="E38" t="s">
        <v>10</v>
      </c>
      <c r="F38" t="s">
        <v>240</v>
      </c>
      <c r="G38" t="s">
        <v>275</v>
      </c>
      <c r="H38" t="s">
        <v>13</v>
      </c>
      <c r="I38" t="s">
        <v>938</v>
      </c>
      <c r="J38" t="s">
        <v>15</v>
      </c>
      <c r="K38" t="s">
        <v>939</v>
      </c>
      <c r="L38" t="s">
        <v>17</v>
      </c>
      <c r="M38" t="s">
        <v>18</v>
      </c>
      <c r="N38" t="s">
        <v>936</v>
      </c>
      <c r="O38" t="s">
        <v>20</v>
      </c>
      <c r="P38" t="s">
        <v>940</v>
      </c>
      <c r="Q38" t="s">
        <v>210</v>
      </c>
      <c r="R38" t="s">
        <v>211</v>
      </c>
      <c r="S38" t="s">
        <v>941</v>
      </c>
      <c r="T38" t="s">
        <v>212</v>
      </c>
      <c r="U38" t="s">
        <v>942</v>
      </c>
      <c r="V38" t="s">
        <v>725</v>
      </c>
    </row>
    <row r="39" spans="1:22" x14ac:dyDescent="0.2">
      <c r="B39" s="537" t="s">
        <v>1014</v>
      </c>
      <c r="C39" s="469">
        <f t="shared" ref="C39:V39" si="8">((2^(1/12))^(C4+2-49))*440</f>
        <v>293.66476791740752</v>
      </c>
      <c r="D39" s="469">
        <f t="shared" si="8"/>
        <v>311.12698372208087</v>
      </c>
      <c r="E39" s="469">
        <f t="shared" si="8"/>
        <v>329.62755691286992</v>
      </c>
      <c r="F39" s="469">
        <f t="shared" si="8"/>
        <v>349.22823143300388</v>
      </c>
      <c r="G39" s="469">
        <f t="shared" si="8"/>
        <v>369.99442271163434</v>
      </c>
      <c r="H39" s="469">
        <f t="shared" si="8"/>
        <v>391.99543598174927</v>
      </c>
      <c r="I39" s="469">
        <f t="shared" si="8"/>
        <v>415.30469757994513</v>
      </c>
      <c r="J39" s="469">
        <f t="shared" si="8"/>
        <v>440</v>
      </c>
      <c r="K39" s="469">
        <f t="shared" si="8"/>
        <v>466.16376151808993</v>
      </c>
      <c r="L39" s="469">
        <f t="shared" si="8"/>
        <v>493.88330125612413</v>
      </c>
      <c r="M39" s="469">
        <f t="shared" si="8"/>
        <v>523.25113060119736</v>
      </c>
      <c r="N39" s="469">
        <f t="shared" si="8"/>
        <v>554.36526195374415</v>
      </c>
      <c r="O39" s="469">
        <f t="shared" si="8"/>
        <v>587.32953583481515</v>
      </c>
      <c r="P39" s="469">
        <f t="shared" si="8"/>
        <v>622.25396744416184</v>
      </c>
      <c r="Q39" s="469">
        <f t="shared" si="8"/>
        <v>659.25511382573995</v>
      </c>
      <c r="R39" s="469">
        <f t="shared" si="8"/>
        <v>698.45646286600777</v>
      </c>
      <c r="S39" s="469">
        <f t="shared" si="8"/>
        <v>739.98884542326891</v>
      </c>
      <c r="T39" s="469">
        <f t="shared" si="8"/>
        <v>783.99087196349865</v>
      </c>
      <c r="U39" s="469">
        <f t="shared" si="8"/>
        <v>830.60939515989048</v>
      </c>
      <c r="V39" s="469">
        <f t="shared" si="8"/>
        <v>880</v>
      </c>
    </row>
    <row r="40" spans="1:22" x14ac:dyDescent="0.2">
      <c r="B40" s="537" t="s">
        <v>1109</v>
      </c>
      <c r="C40" s="596"/>
      <c r="D40" s="596"/>
      <c r="E40" s="596"/>
      <c r="F40" s="596"/>
      <c r="G40" s="596"/>
      <c r="H40" s="596"/>
      <c r="I40" s="596"/>
      <c r="J40" s="596"/>
      <c r="K40" s="596"/>
      <c r="L40" s="596"/>
      <c r="M40" s="596"/>
      <c r="N40" s="596"/>
      <c r="O40" s="596"/>
      <c r="P40" s="596"/>
      <c r="Q40" s="596"/>
      <c r="R40" s="596"/>
      <c r="S40" s="596"/>
      <c r="T40" s="596"/>
      <c r="U40" s="596"/>
      <c r="V40" s="596"/>
    </row>
    <row r="41" spans="1:22" x14ac:dyDescent="0.2">
      <c r="B41" s="537" t="s">
        <v>1110</v>
      </c>
      <c r="C41" s="482">
        <f t="shared" ref="C41:V41" si="9">C32*C37/C39</f>
        <v>23.073928983900899</v>
      </c>
      <c r="D41" s="482">
        <f t="shared" si="9"/>
        <v>21.778888860545667</v>
      </c>
      <c r="E41" s="482">
        <f t="shared" si="9"/>
        <v>20.556533754218531</v>
      </c>
      <c r="F41" s="482">
        <f t="shared" si="9"/>
        <v>19.402784168381046</v>
      </c>
      <c r="G41" s="482">
        <f t="shared" si="9"/>
        <v>18.313789571041909</v>
      </c>
      <c r="H41" s="482">
        <f t="shared" si="9"/>
        <v>17.285915543964347</v>
      </c>
      <c r="I41" s="482">
        <f t="shared" si="9"/>
        <v>16.315731653133149</v>
      </c>
      <c r="J41" s="482">
        <f t="shared" si="9"/>
        <v>15.400000000000002</v>
      </c>
      <c r="K41" s="482">
        <f t="shared" si="9"/>
        <v>14.535664415298081</v>
      </c>
      <c r="L41" s="482">
        <f t="shared" si="9"/>
        <v>13.719840259361225</v>
      </c>
      <c r="M41" s="482">
        <f t="shared" si="9"/>
        <v>12.949804794907202</v>
      </c>
      <c r="N41" s="482">
        <f t="shared" si="9"/>
        <v>12.222988100155137</v>
      </c>
      <c r="O41" s="482">
        <f t="shared" si="9"/>
        <v>11.536964491950448</v>
      </c>
      <c r="P41" s="482">
        <f t="shared" si="9"/>
        <v>10.889444430272832</v>
      </c>
      <c r="Q41" s="482">
        <f t="shared" si="9"/>
        <v>10.278266877109264</v>
      </c>
      <c r="R41" s="482">
        <f t="shared" si="9"/>
        <v>9.7013920841905232</v>
      </c>
      <c r="S41" s="482">
        <f t="shared" si="9"/>
        <v>9.1568947855209508</v>
      </c>
      <c r="T41" s="482">
        <f t="shared" si="9"/>
        <v>8.6429577719821715</v>
      </c>
      <c r="U41" s="482">
        <f t="shared" si="9"/>
        <v>8.1578658265665709</v>
      </c>
      <c r="V41" s="482">
        <f t="shared" si="9"/>
        <v>7.7</v>
      </c>
    </row>
    <row r="42" spans="1:22" x14ac:dyDescent="0.2">
      <c r="A42" s="604" t="s">
        <v>253</v>
      </c>
      <c r="B42" s="537" t="s">
        <v>785</v>
      </c>
      <c r="C42" t="s">
        <v>10</v>
      </c>
      <c r="D42" t="s">
        <v>240</v>
      </c>
      <c r="E42" t="s">
        <v>275</v>
      </c>
      <c r="F42" t="s">
        <v>13</v>
      </c>
      <c r="G42" t="s">
        <v>938</v>
      </c>
      <c r="H42" t="s">
        <v>15</v>
      </c>
      <c r="I42" t="s">
        <v>939</v>
      </c>
      <c r="J42" t="s">
        <v>17</v>
      </c>
      <c r="K42" t="s">
        <v>18</v>
      </c>
      <c r="L42" t="s">
        <v>936</v>
      </c>
      <c r="M42" t="s">
        <v>20</v>
      </c>
      <c r="N42" t="s">
        <v>940</v>
      </c>
      <c r="O42" t="s">
        <v>210</v>
      </c>
      <c r="P42" t="s">
        <v>211</v>
      </c>
      <c r="Q42" t="s">
        <v>941</v>
      </c>
      <c r="R42" t="s">
        <v>212</v>
      </c>
      <c r="S42" t="s">
        <v>942</v>
      </c>
      <c r="T42" t="s">
        <v>725</v>
      </c>
      <c r="U42" t="s">
        <v>943</v>
      </c>
      <c r="V42" t="s">
        <v>734</v>
      </c>
    </row>
    <row r="43" spans="1:22" x14ac:dyDescent="0.2">
      <c r="B43" s="537" t="s">
        <v>1014</v>
      </c>
      <c r="C43" s="469">
        <f t="shared" ref="C43:V43" si="10">((2^(1/12))^(C4+4-49))*440</f>
        <v>329.62755691286992</v>
      </c>
      <c r="D43" s="469">
        <f t="shared" si="10"/>
        <v>349.22823143300388</v>
      </c>
      <c r="E43" s="469">
        <f t="shared" si="10"/>
        <v>369.99442271163434</v>
      </c>
      <c r="F43" s="469">
        <f t="shared" si="10"/>
        <v>391.99543598174927</v>
      </c>
      <c r="G43" s="469">
        <f t="shared" si="10"/>
        <v>415.30469757994513</v>
      </c>
      <c r="H43" s="469">
        <f t="shared" si="10"/>
        <v>440</v>
      </c>
      <c r="I43" s="469">
        <f t="shared" si="10"/>
        <v>466.16376151808993</v>
      </c>
      <c r="J43" s="469">
        <f t="shared" si="10"/>
        <v>493.88330125612413</v>
      </c>
      <c r="K43" s="469">
        <f t="shared" si="10"/>
        <v>523.25113060119736</v>
      </c>
      <c r="L43" s="469">
        <f t="shared" si="10"/>
        <v>554.36526195374415</v>
      </c>
      <c r="M43" s="469">
        <f t="shared" si="10"/>
        <v>587.32953583481515</v>
      </c>
      <c r="N43" s="469">
        <f t="shared" si="10"/>
        <v>622.25396744416184</v>
      </c>
      <c r="O43" s="469">
        <f t="shared" si="10"/>
        <v>659.25511382573995</v>
      </c>
      <c r="P43" s="469">
        <f t="shared" si="10"/>
        <v>698.45646286600777</v>
      </c>
      <c r="Q43" s="469">
        <f t="shared" si="10"/>
        <v>739.98884542326891</v>
      </c>
      <c r="R43" s="469">
        <f t="shared" si="10"/>
        <v>783.99087196349865</v>
      </c>
      <c r="S43" s="469">
        <f t="shared" si="10"/>
        <v>830.60939515989048</v>
      </c>
      <c r="T43" s="469">
        <f t="shared" si="10"/>
        <v>880</v>
      </c>
      <c r="U43" s="469">
        <f t="shared" si="10"/>
        <v>932.32752303617985</v>
      </c>
      <c r="V43" s="469">
        <f t="shared" si="10"/>
        <v>987.76660251224848</v>
      </c>
    </row>
    <row r="44" spans="1:22" x14ac:dyDescent="0.2">
      <c r="B44" s="537" t="s">
        <v>1109</v>
      </c>
      <c r="C44" s="596"/>
      <c r="D44" s="596"/>
      <c r="E44" s="596"/>
      <c r="F44" s="596"/>
      <c r="G44" s="596"/>
      <c r="H44" s="596"/>
      <c r="I44" s="596"/>
      <c r="J44" s="596"/>
      <c r="K44" s="596"/>
      <c r="L44" s="596"/>
      <c r="M44" s="596"/>
      <c r="N44" s="596"/>
      <c r="O44" s="596"/>
      <c r="P44" s="596"/>
      <c r="Q44" s="596"/>
      <c r="R44" s="596"/>
      <c r="S44" s="596"/>
      <c r="T44" s="596"/>
      <c r="U44" s="596"/>
      <c r="V44" s="596"/>
    </row>
    <row r="45" spans="1:22" x14ac:dyDescent="0.2">
      <c r="B45" s="537" t="s">
        <v>1110</v>
      </c>
      <c r="C45" s="482">
        <f t="shared" ref="C45:V45" si="11">C32*C37/C43</f>
        <v>20.556533754218531</v>
      </c>
      <c r="D45" s="482">
        <f t="shared" si="11"/>
        <v>19.402784168381046</v>
      </c>
      <c r="E45" s="482">
        <f t="shared" si="11"/>
        <v>18.313789571041909</v>
      </c>
      <c r="F45" s="482">
        <f t="shared" si="11"/>
        <v>17.285915543964347</v>
      </c>
      <c r="G45" s="482">
        <f t="shared" si="11"/>
        <v>16.315731653133149</v>
      </c>
      <c r="H45" s="482">
        <f t="shared" si="11"/>
        <v>15.4</v>
      </c>
      <c r="I45" s="482">
        <f t="shared" si="11"/>
        <v>14.535664415298081</v>
      </c>
      <c r="J45" s="482">
        <f t="shared" si="11"/>
        <v>13.719840259361227</v>
      </c>
      <c r="K45" s="482">
        <f t="shared" si="11"/>
        <v>12.949804794907203</v>
      </c>
      <c r="L45" s="482">
        <f t="shared" si="11"/>
        <v>12.222988100155137</v>
      </c>
      <c r="M45" s="482">
        <f t="shared" si="11"/>
        <v>11.536964491950448</v>
      </c>
      <c r="N45" s="482">
        <f t="shared" si="11"/>
        <v>10.889444430272832</v>
      </c>
      <c r="O45" s="482">
        <f t="shared" si="11"/>
        <v>10.278266877109264</v>
      </c>
      <c r="P45" s="482">
        <f t="shared" si="11"/>
        <v>9.7013920841905232</v>
      </c>
      <c r="Q45" s="482">
        <f t="shared" si="11"/>
        <v>9.1568947855209508</v>
      </c>
      <c r="R45" s="482">
        <f t="shared" si="11"/>
        <v>8.6429577719821715</v>
      </c>
      <c r="S45" s="482">
        <f t="shared" si="11"/>
        <v>8.1578658265665709</v>
      </c>
      <c r="T45" s="482">
        <f t="shared" si="11"/>
        <v>7.7</v>
      </c>
      <c r="U45" s="482">
        <f t="shared" si="11"/>
        <v>7.2678322076490396</v>
      </c>
      <c r="V45" s="482">
        <f t="shared" si="11"/>
        <v>6.8599201296806109</v>
      </c>
    </row>
    <row r="46" spans="1:22" x14ac:dyDescent="0.2">
      <c r="A46" s="604" t="s">
        <v>258</v>
      </c>
      <c r="B46" s="537" t="s">
        <v>785</v>
      </c>
      <c r="C46" t="s">
        <v>240</v>
      </c>
      <c r="D46" t="s">
        <v>275</v>
      </c>
      <c r="E46" t="s">
        <v>13</v>
      </c>
      <c r="F46" t="s">
        <v>938</v>
      </c>
      <c r="G46" t="s">
        <v>15</v>
      </c>
      <c r="H46" t="s">
        <v>939</v>
      </c>
      <c r="I46" t="s">
        <v>17</v>
      </c>
      <c r="J46" t="s">
        <v>18</v>
      </c>
      <c r="K46" t="s">
        <v>936</v>
      </c>
      <c r="L46" t="s">
        <v>20</v>
      </c>
      <c r="M46" t="s">
        <v>940</v>
      </c>
      <c r="N46" t="s">
        <v>210</v>
      </c>
      <c r="O46" t="s">
        <v>211</v>
      </c>
      <c r="P46" t="s">
        <v>941</v>
      </c>
      <c r="Q46" t="s">
        <v>212</v>
      </c>
      <c r="R46" t="s">
        <v>942</v>
      </c>
      <c r="S46" t="s">
        <v>725</v>
      </c>
      <c r="T46" t="s">
        <v>943</v>
      </c>
      <c r="U46" t="s">
        <v>734</v>
      </c>
      <c r="V46" t="s">
        <v>737</v>
      </c>
    </row>
    <row r="47" spans="1:22" x14ac:dyDescent="0.2">
      <c r="B47" s="537" t="s">
        <v>1014</v>
      </c>
      <c r="C47" s="469">
        <f t="shared" ref="C47:V47" si="12">((2^(1/12))^(C4+5-49))*440</f>
        <v>349.22823143300388</v>
      </c>
      <c r="D47" s="469">
        <f t="shared" si="12"/>
        <v>369.99442271163434</v>
      </c>
      <c r="E47" s="469">
        <f t="shared" si="12"/>
        <v>391.99543598174927</v>
      </c>
      <c r="F47" s="469">
        <f t="shared" si="12"/>
        <v>415.30469757994513</v>
      </c>
      <c r="G47" s="469">
        <f t="shared" si="12"/>
        <v>440</v>
      </c>
      <c r="H47" s="469">
        <f t="shared" si="12"/>
        <v>466.16376151808993</v>
      </c>
      <c r="I47" s="469">
        <f t="shared" si="12"/>
        <v>493.88330125612413</v>
      </c>
      <c r="J47" s="469">
        <f t="shared" si="12"/>
        <v>523.25113060119736</v>
      </c>
      <c r="K47" s="469">
        <f t="shared" si="12"/>
        <v>554.36526195374415</v>
      </c>
      <c r="L47" s="469">
        <f t="shared" si="12"/>
        <v>587.32953583481515</v>
      </c>
      <c r="M47" s="469">
        <f t="shared" si="12"/>
        <v>622.25396744416184</v>
      </c>
      <c r="N47" s="469">
        <f t="shared" si="12"/>
        <v>659.25511382573995</v>
      </c>
      <c r="O47" s="469">
        <f t="shared" si="12"/>
        <v>698.45646286600777</v>
      </c>
      <c r="P47" s="469">
        <f t="shared" si="12"/>
        <v>739.98884542326891</v>
      </c>
      <c r="Q47" s="469">
        <f t="shared" si="12"/>
        <v>783.99087196349865</v>
      </c>
      <c r="R47" s="469">
        <f t="shared" si="12"/>
        <v>830.60939515989048</v>
      </c>
      <c r="S47" s="469">
        <f t="shared" si="12"/>
        <v>880</v>
      </c>
      <c r="T47" s="469">
        <f t="shared" si="12"/>
        <v>932.32752303617985</v>
      </c>
      <c r="U47" s="469">
        <f t="shared" si="12"/>
        <v>987.76660251224848</v>
      </c>
      <c r="V47" s="469">
        <f t="shared" si="12"/>
        <v>1046.5022612023947</v>
      </c>
    </row>
    <row r="48" spans="1:22" x14ac:dyDescent="0.2">
      <c r="B48" s="537" t="s">
        <v>1109</v>
      </c>
      <c r="C48" s="596"/>
      <c r="D48" s="596"/>
      <c r="E48" s="596"/>
      <c r="F48" s="596"/>
      <c r="G48" s="596"/>
      <c r="H48" s="596"/>
      <c r="I48" s="596"/>
      <c r="J48" s="596"/>
      <c r="K48" s="596"/>
      <c r="L48" s="596"/>
      <c r="M48" s="596"/>
      <c r="N48" s="596"/>
      <c r="O48" s="596"/>
      <c r="P48" s="596"/>
      <c r="Q48" s="596"/>
      <c r="R48" s="596"/>
      <c r="S48" s="596"/>
      <c r="T48" s="596"/>
      <c r="U48" s="596"/>
      <c r="V48" s="596"/>
    </row>
    <row r="49" spans="1:22" x14ac:dyDescent="0.2">
      <c r="B49" s="537" t="s">
        <v>1110</v>
      </c>
      <c r="C49" s="482">
        <f t="shared" ref="C49:V49" si="13">C32*C37/C47</f>
        <v>19.402784168381046</v>
      </c>
      <c r="D49" s="482">
        <f t="shared" si="13"/>
        <v>18.313789571041909</v>
      </c>
      <c r="E49" s="482">
        <f t="shared" si="13"/>
        <v>17.285915543964347</v>
      </c>
      <c r="F49" s="482">
        <f t="shared" si="13"/>
        <v>16.315731653133149</v>
      </c>
      <c r="G49" s="482">
        <f t="shared" si="13"/>
        <v>15.4</v>
      </c>
      <c r="H49" s="482">
        <f t="shared" si="13"/>
        <v>14.535664415298079</v>
      </c>
      <c r="I49" s="482">
        <f t="shared" si="13"/>
        <v>13.719840259361227</v>
      </c>
      <c r="J49" s="482">
        <f t="shared" si="13"/>
        <v>12.949804794907203</v>
      </c>
      <c r="K49" s="482">
        <f t="shared" si="13"/>
        <v>12.222988100155138</v>
      </c>
      <c r="L49" s="482">
        <f t="shared" si="13"/>
        <v>11.536964491950448</v>
      </c>
      <c r="M49" s="482">
        <f t="shared" si="13"/>
        <v>10.889444430272832</v>
      </c>
      <c r="N49" s="482">
        <f t="shared" si="13"/>
        <v>10.278266877109264</v>
      </c>
      <c r="O49" s="482">
        <f t="shared" si="13"/>
        <v>9.7013920841905232</v>
      </c>
      <c r="P49" s="482">
        <f t="shared" si="13"/>
        <v>9.1568947855209508</v>
      </c>
      <c r="Q49" s="482">
        <f t="shared" si="13"/>
        <v>8.6429577719821715</v>
      </c>
      <c r="R49" s="482">
        <f t="shared" si="13"/>
        <v>8.1578658265665709</v>
      </c>
      <c r="S49" s="482">
        <f t="shared" si="13"/>
        <v>7.7</v>
      </c>
      <c r="T49" s="482">
        <f t="shared" si="13"/>
        <v>7.2678322076490396</v>
      </c>
      <c r="U49" s="482">
        <f t="shared" si="13"/>
        <v>6.8599201296806109</v>
      </c>
      <c r="V49" s="482">
        <f t="shared" si="13"/>
        <v>6.4749023974536009</v>
      </c>
    </row>
    <row r="50" spans="1:22" x14ac:dyDescent="0.2">
      <c r="A50" s="604" t="s">
        <v>262</v>
      </c>
      <c r="B50" s="537" t="s">
        <v>785</v>
      </c>
      <c r="C50" t="s">
        <v>13</v>
      </c>
      <c r="D50" t="s">
        <v>938</v>
      </c>
      <c r="E50" t="s">
        <v>15</v>
      </c>
      <c r="F50" t="s">
        <v>939</v>
      </c>
      <c r="G50" t="s">
        <v>17</v>
      </c>
      <c r="H50" t="s">
        <v>18</v>
      </c>
      <c r="I50" t="s">
        <v>936</v>
      </c>
      <c r="J50" t="s">
        <v>20</v>
      </c>
      <c r="K50" t="s">
        <v>940</v>
      </c>
      <c r="L50" t="s">
        <v>210</v>
      </c>
      <c r="M50" t="s">
        <v>211</v>
      </c>
      <c r="N50" t="s">
        <v>941</v>
      </c>
      <c r="O50" t="s">
        <v>212</v>
      </c>
      <c r="P50" t="s">
        <v>942</v>
      </c>
      <c r="Q50" t="s">
        <v>725</v>
      </c>
      <c r="R50" t="s">
        <v>943</v>
      </c>
      <c r="S50" t="s">
        <v>734</v>
      </c>
      <c r="T50" t="s">
        <v>737</v>
      </c>
      <c r="U50" t="s">
        <v>944</v>
      </c>
      <c r="V50" t="s">
        <v>740</v>
      </c>
    </row>
    <row r="51" spans="1:22" x14ac:dyDescent="0.2">
      <c r="B51" s="537" t="s">
        <v>1014</v>
      </c>
      <c r="C51" s="469">
        <f t="shared" ref="C51:V51" si="14">((2^(1/12))^(C4+7-49))*440</f>
        <v>391.99543598174927</v>
      </c>
      <c r="D51" s="469">
        <f t="shared" si="14"/>
        <v>415.30469757994513</v>
      </c>
      <c r="E51" s="469">
        <f t="shared" si="14"/>
        <v>440</v>
      </c>
      <c r="F51" s="469">
        <f t="shared" si="14"/>
        <v>466.16376151808993</v>
      </c>
      <c r="G51" s="469">
        <f t="shared" si="14"/>
        <v>493.88330125612413</v>
      </c>
      <c r="H51" s="469">
        <f t="shared" si="14"/>
        <v>523.25113060119736</v>
      </c>
      <c r="I51" s="469">
        <f t="shared" si="14"/>
        <v>554.36526195374415</v>
      </c>
      <c r="J51" s="469">
        <f t="shared" si="14"/>
        <v>587.32953583481515</v>
      </c>
      <c r="K51" s="469">
        <f t="shared" si="14"/>
        <v>622.25396744416184</v>
      </c>
      <c r="L51" s="469">
        <f t="shared" si="14"/>
        <v>659.25511382573995</v>
      </c>
      <c r="M51" s="469">
        <f t="shared" si="14"/>
        <v>698.45646286600777</v>
      </c>
      <c r="N51" s="469">
        <f t="shared" si="14"/>
        <v>739.98884542326891</v>
      </c>
      <c r="O51" s="469">
        <f t="shared" si="14"/>
        <v>783.99087196349865</v>
      </c>
      <c r="P51" s="469">
        <f t="shared" si="14"/>
        <v>830.60939515989048</v>
      </c>
      <c r="Q51" s="469">
        <f t="shared" si="14"/>
        <v>880</v>
      </c>
      <c r="R51" s="469">
        <f t="shared" si="14"/>
        <v>932.32752303617985</v>
      </c>
      <c r="S51" s="469">
        <f t="shared" si="14"/>
        <v>987.76660251224848</v>
      </c>
      <c r="T51" s="469">
        <f t="shared" si="14"/>
        <v>1046.5022612023947</v>
      </c>
      <c r="U51" s="469">
        <f t="shared" si="14"/>
        <v>1108.7305239074885</v>
      </c>
      <c r="V51" s="469">
        <f t="shared" si="14"/>
        <v>1174.6590716696305</v>
      </c>
    </row>
    <row r="52" spans="1:22" x14ac:dyDescent="0.2">
      <c r="B52" s="537" t="s">
        <v>1109</v>
      </c>
      <c r="C52" s="596"/>
      <c r="D52" s="596"/>
      <c r="E52" s="596"/>
      <c r="F52" s="596"/>
      <c r="G52" s="596"/>
      <c r="H52" s="596"/>
      <c r="I52" s="596"/>
      <c r="J52" s="596"/>
      <c r="K52" s="596"/>
      <c r="L52" s="596"/>
      <c r="M52" s="596"/>
      <c r="N52" s="596"/>
      <c r="O52" s="596"/>
      <c r="P52" s="596"/>
      <c r="Q52" s="596"/>
      <c r="R52" s="596"/>
      <c r="S52" s="596"/>
      <c r="T52" s="596"/>
      <c r="U52" s="596"/>
      <c r="V52" s="596"/>
    </row>
    <row r="53" spans="1:22" x14ac:dyDescent="0.2">
      <c r="B53" s="537" t="s">
        <v>1110</v>
      </c>
      <c r="C53" s="482">
        <f t="shared" ref="C53:V53" si="15">C32*C37/C51</f>
        <v>17.285915543964347</v>
      </c>
      <c r="D53" s="482">
        <f t="shared" si="15"/>
        <v>16.315731653133149</v>
      </c>
      <c r="E53" s="482">
        <f t="shared" si="15"/>
        <v>15.4</v>
      </c>
      <c r="F53" s="482">
        <f t="shared" si="15"/>
        <v>14.535664415298079</v>
      </c>
      <c r="G53" s="482">
        <f t="shared" si="15"/>
        <v>13.719840259361225</v>
      </c>
      <c r="H53" s="482">
        <f t="shared" si="15"/>
        <v>12.949804794907202</v>
      </c>
      <c r="I53" s="482">
        <f t="shared" si="15"/>
        <v>12.222988100155138</v>
      </c>
      <c r="J53" s="482">
        <f t="shared" si="15"/>
        <v>11.536964491950448</v>
      </c>
      <c r="K53" s="482">
        <f t="shared" si="15"/>
        <v>10.889444430272833</v>
      </c>
      <c r="L53" s="482">
        <f t="shared" si="15"/>
        <v>10.278266877109264</v>
      </c>
      <c r="M53" s="482">
        <f t="shared" si="15"/>
        <v>9.7013920841905232</v>
      </c>
      <c r="N53" s="482">
        <f t="shared" si="15"/>
        <v>9.1568947855209508</v>
      </c>
      <c r="O53" s="482">
        <f t="shared" si="15"/>
        <v>8.6429577719821715</v>
      </c>
      <c r="P53" s="482">
        <f t="shared" si="15"/>
        <v>8.1578658265665709</v>
      </c>
      <c r="Q53" s="482">
        <f t="shared" si="15"/>
        <v>7.7</v>
      </c>
      <c r="R53" s="482">
        <f t="shared" si="15"/>
        <v>7.2678322076490396</v>
      </c>
      <c r="S53" s="482">
        <f t="shared" si="15"/>
        <v>6.8599201296806109</v>
      </c>
      <c r="T53" s="482">
        <f t="shared" si="15"/>
        <v>6.4749023974536009</v>
      </c>
      <c r="U53" s="482">
        <f t="shared" si="15"/>
        <v>6.1114940500775674</v>
      </c>
      <c r="V53" s="482">
        <f t="shared" si="15"/>
        <v>5.7684822459752221</v>
      </c>
    </row>
    <row r="54" spans="1:22" x14ac:dyDescent="0.2">
      <c r="A54" s="604" t="s">
        <v>264</v>
      </c>
      <c r="B54" s="537" t="s">
        <v>785</v>
      </c>
      <c r="C54" t="s">
        <v>15</v>
      </c>
      <c r="D54" t="s">
        <v>939</v>
      </c>
      <c r="E54" t="s">
        <v>17</v>
      </c>
      <c r="F54" t="s">
        <v>18</v>
      </c>
      <c r="G54" t="s">
        <v>936</v>
      </c>
      <c r="H54" t="s">
        <v>20</v>
      </c>
      <c r="I54" t="s">
        <v>940</v>
      </c>
      <c r="J54" t="s">
        <v>210</v>
      </c>
      <c r="K54" t="s">
        <v>211</v>
      </c>
      <c r="L54" t="s">
        <v>941</v>
      </c>
      <c r="M54" t="s">
        <v>212</v>
      </c>
      <c r="N54" t="s">
        <v>942</v>
      </c>
      <c r="O54" t="s">
        <v>725</v>
      </c>
      <c r="P54" t="s">
        <v>943</v>
      </c>
      <c r="Q54" t="s">
        <v>734</v>
      </c>
      <c r="R54" t="s">
        <v>737</v>
      </c>
      <c r="S54" t="s">
        <v>944</v>
      </c>
      <c r="T54" t="s">
        <v>740</v>
      </c>
      <c r="U54" t="s">
        <v>945</v>
      </c>
      <c r="V54" t="s">
        <v>744</v>
      </c>
    </row>
    <row r="55" spans="1:22" x14ac:dyDescent="0.2">
      <c r="B55" s="537" t="s">
        <v>1014</v>
      </c>
      <c r="C55" s="469">
        <f t="shared" ref="C55:V55" si="16">((2^(1/12))^(C4+9-49))*440</f>
        <v>440</v>
      </c>
      <c r="D55" s="469">
        <f t="shared" si="16"/>
        <v>466.16376151808993</v>
      </c>
      <c r="E55" s="469">
        <f t="shared" si="16"/>
        <v>493.88330125612413</v>
      </c>
      <c r="F55" s="469">
        <f t="shared" si="16"/>
        <v>523.25113060119736</v>
      </c>
      <c r="G55" s="469">
        <f t="shared" si="16"/>
        <v>554.36526195374415</v>
      </c>
      <c r="H55" s="469">
        <f t="shared" si="16"/>
        <v>587.32953583481515</v>
      </c>
      <c r="I55" s="469">
        <f t="shared" si="16"/>
        <v>622.25396744416184</v>
      </c>
      <c r="J55" s="469">
        <f t="shared" si="16"/>
        <v>659.25511382573995</v>
      </c>
      <c r="K55" s="469">
        <f t="shared" si="16"/>
        <v>698.45646286600777</v>
      </c>
      <c r="L55" s="469">
        <f t="shared" si="16"/>
        <v>739.98884542326891</v>
      </c>
      <c r="M55" s="469">
        <f t="shared" si="16"/>
        <v>783.99087196349865</v>
      </c>
      <c r="N55" s="469">
        <f t="shared" si="16"/>
        <v>830.60939515989048</v>
      </c>
      <c r="O55" s="469">
        <f t="shared" si="16"/>
        <v>880</v>
      </c>
      <c r="P55" s="469">
        <f t="shared" si="16"/>
        <v>932.32752303617985</v>
      </c>
      <c r="Q55" s="469">
        <f t="shared" si="16"/>
        <v>987.76660251224848</v>
      </c>
      <c r="R55" s="469">
        <f t="shared" si="16"/>
        <v>1046.5022612023947</v>
      </c>
      <c r="S55" s="469">
        <f t="shared" si="16"/>
        <v>1108.7305239074885</v>
      </c>
      <c r="T55" s="469">
        <f t="shared" si="16"/>
        <v>1174.6590716696305</v>
      </c>
      <c r="U55" s="469">
        <f t="shared" si="16"/>
        <v>1244.5079348883239</v>
      </c>
      <c r="V55" s="469">
        <f t="shared" si="16"/>
        <v>1318.5102276514801</v>
      </c>
    </row>
    <row r="56" spans="1:22" x14ac:dyDescent="0.2">
      <c r="B56" s="537" t="s">
        <v>1109</v>
      </c>
      <c r="C56" s="596"/>
      <c r="D56" s="596"/>
      <c r="E56" s="596"/>
      <c r="F56" s="596"/>
      <c r="G56" s="596"/>
      <c r="H56" s="596"/>
      <c r="I56" s="596"/>
      <c r="J56" s="596"/>
      <c r="K56" s="596"/>
      <c r="L56" s="596"/>
      <c r="M56" s="596"/>
      <c r="N56" s="596"/>
      <c r="O56" s="596"/>
      <c r="P56" s="596"/>
      <c r="Q56" s="596"/>
      <c r="R56" s="596"/>
      <c r="S56" s="596"/>
      <c r="T56" s="596"/>
      <c r="U56" s="596"/>
      <c r="V56" s="596"/>
    </row>
    <row r="57" spans="1:22" x14ac:dyDescent="0.2">
      <c r="B57" s="537" t="s">
        <v>1110</v>
      </c>
      <c r="C57" s="482">
        <f t="shared" ref="C57:V57" si="17">C32*C37/C55</f>
        <v>15.4</v>
      </c>
      <c r="D57" s="482">
        <f t="shared" si="17"/>
        <v>14.535664415298079</v>
      </c>
      <c r="E57" s="482">
        <f t="shared" si="17"/>
        <v>13.719840259361225</v>
      </c>
      <c r="F57" s="482">
        <f t="shared" si="17"/>
        <v>12.949804794907202</v>
      </c>
      <c r="G57" s="482">
        <f t="shared" si="17"/>
        <v>12.222988100155137</v>
      </c>
      <c r="H57" s="482">
        <f t="shared" si="17"/>
        <v>11.536964491950448</v>
      </c>
      <c r="I57" s="482">
        <f t="shared" si="17"/>
        <v>10.889444430272833</v>
      </c>
      <c r="J57" s="482">
        <f t="shared" si="17"/>
        <v>10.278266877109264</v>
      </c>
      <c r="K57" s="482">
        <f t="shared" si="17"/>
        <v>9.701392084190525</v>
      </c>
      <c r="L57" s="482">
        <f t="shared" si="17"/>
        <v>9.1568947855209508</v>
      </c>
      <c r="M57" s="482">
        <f t="shared" si="17"/>
        <v>8.6429577719821715</v>
      </c>
      <c r="N57" s="482">
        <f t="shared" si="17"/>
        <v>8.1578658265665709</v>
      </c>
      <c r="O57" s="482">
        <f t="shared" si="17"/>
        <v>7.7</v>
      </c>
      <c r="P57" s="482">
        <f t="shared" si="17"/>
        <v>7.2678322076490396</v>
      </c>
      <c r="Q57" s="482">
        <f t="shared" si="17"/>
        <v>6.8599201296806109</v>
      </c>
      <c r="R57" s="482">
        <f t="shared" si="17"/>
        <v>6.4749023974536009</v>
      </c>
      <c r="S57" s="482">
        <f t="shared" si="17"/>
        <v>6.1114940500775674</v>
      </c>
      <c r="T57" s="482">
        <f t="shared" si="17"/>
        <v>5.7684822459752221</v>
      </c>
      <c r="U57" s="482">
        <f t="shared" si="17"/>
        <v>5.444722215136415</v>
      </c>
      <c r="V57" s="482">
        <f t="shared" si="17"/>
        <v>5.139133438554631</v>
      </c>
    </row>
    <row r="58" spans="1:22" x14ac:dyDescent="0.2">
      <c r="A58" s="604" t="s">
        <v>269</v>
      </c>
      <c r="B58" s="537" t="s">
        <v>785</v>
      </c>
      <c r="C58" t="s">
        <v>17</v>
      </c>
      <c r="D58" t="s">
        <v>18</v>
      </c>
      <c r="E58" t="s">
        <v>936</v>
      </c>
      <c r="F58" t="s">
        <v>20</v>
      </c>
      <c r="G58" t="s">
        <v>940</v>
      </c>
      <c r="H58" t="s">
        <v>210</v>
      </c>
      <c r="I58" t="s">
        <v>211</v>
      </c>
      <c r="J58" t="s">
        <v>941</v>
      </c>
      <c r="K58" t="s">
        <v>212</v>
      </c>
      <c r="L58" t="s">
        <v>942</v>
      </c>
      <c r="M58" t="s">
        <v>725</v>
      </c>
      <c r="N58" t="s">
        <v>943</v>
      </c>
      <c r="O58" t="s">
        <v>734</v>
      </c>
      <c r="P58" t="s">
        <v>737</v>
      </c>
      <c r="Q58" t="s">
        <v>944</v>
      </c>
      <c r="R58" t="s">
        <v>740</v>
      </c>
      <c r="S58" t="s">
        <v>945</v>
      </c>
      <c r="T58" t="s">
        <v>744</v>
      </c>
      <c r="U58" t="s">
        <v>746</v>
      </c>
      <c r="V58" t="s">
        <v>946</v>
      </c>
    </row>
    <row r="59" spans="1:22" x14ac:dyDescent="0.2">
      <c r="B59" s="537" t="s">
        <v>1014</v>
      </c>
      <c r="C59" s="469">
        <f t="shared" ref="C59:V59" si="18">((2^(1/12))^(C4+11-49))*440</f>
        <v>493.88330125612413</v>
      </c>
      <c r="D59" s="469">
        <f t="shared" si="18"/>
        <v>523.25113060119736</v>
      </c>
      <c r="E59" s="469">
        <f t="shared" si="18"/>
        <v>554.36526195374415</v>
      </c>
      <c r="F59" s="469">
        <f t="shared" si="18"/>
        <v>587.32953583481515</v>
      </c>
      <c r="G59" s="469">
        <f t="shared" si="18"/>
        <v>622.25396744416184</v>
      </c>
      <c r="H59" s="469">
        <f t="shared" si="18"/>
        <v>659.25511382573995</v>
      </c>
      <c r="I59" s="469">
        <f t="shared" si="18"/>
        <v>698.45646286600777</v>
      </c>
      <c r="J59" s="469">
        <f t="shared" si="18"/>
        <v>739.98884542326891</v>
      </c>
      <c r="K59" s="469">
        <f t="shared" si="18"/>
        <v>783.99087196349865</v>
      </c>
      <c r="L59" s="469">
        <f t="shared" si="18"/>
        <v>830.60939515989048</v>
      </c>
      <c r="M59" s="469">
        <f t="shared" si="18"/>
        <v>880</v>
      </c>
      <c r="N59" s="469">
        <f t="shared" si="18"/>
        <v>932.32752303617985</v>
      </c>
      <c r="O59" s="469">
        <f t="shared" si="18"/>
        <v>987.76660251224848</v>
      </c>
      <c r="P59" s="469">
        <f t="shared" si="18"/>
        <v>1046.5022612023947</v>
      </c>
      <c r="Q59" s="469">
        <f t="shared" si="18"/>
        <v>1108.7305239074885</v>
      </c>
      <c r="R59" s="469">
        <f t="shared" si="18"/>
        <v>1174.6590716696305</v>
      </c>
      <c r="S59" s="469">
        <f t="shared" si="18"/>
        <v>1244.5079348883239</v>
      </c>
      <c r="T59" s="469">
        <f t="shared" si="18"/>
        <v>1318.5102276514801</v>
      </c>
      <c r="U59" s="469">
        <f t="shared" si="18"/>
        <v>1396.9129257320158</v>
      </c>
      <c r="V59" s="469">
        <f t="shared" si="18"/>
        <v>1479.9776908465378</v>
      </c>
    </row>
    <row r="60" spans="1:22" x14ac:dyDescent="0.2">
      <c r="B60" s="537" t="s">
        <v>1109</v>
      </c>
      <c r="C60" s="596"/>
      <c r="D60" s="596"/>
      <c r="E60" s="596"/>
      <c r="F60" s="596"/>
      <c r="G60" s="596"/>
      <c r="H60" s="596"/>
      <c r="I60" s="596"/>
      <c r="J60" s="596"/>
      <c r="K60" s="596"/>
      <c r="L60" s="596"/>
      <c r="M60" s="596"/>
      <c r="N60" s="596"/>
      <c r="O60" s="596"/>
      <c r="P60" s="596"/>
      <c r="Q60" s="596"/>
      <c r="R60" s="596"/>
      <c r="S60" s="596"/>
      <c r="T60" s="596"/>
      <c r="U60" s="596"/>
      <c r="V60" s="596"/>
    </row>
    <row r="61" spans="1:22" x14ac:dyDescent="0.2">
      <c r="B61" s="537" t="s">
        <v>1110</v>
      </c>
      <c r="C61" s="482">
        <f t="shared" ref="C61:V61" si="19">C32*C37/C59</f>
        <v>13.719840259361225</v>
      </c>
      <c r="D61" s="482">
        <f t="shared" si="19"/>
        <v>12.949804794907202</v>
      </c>
      <c r="E61" s="482">
        <f t="shared" si="19"/>
        <v>12.222988100155137</v>
      </c>
      <c r="F61" s="482">
        <f t="shared" si="19"/>
        <v>11.536964491950448</v>
      </c>
      <c r="G61" s="482">
        <f t="shared" si="19"/>
        <v>10.889444430272832</v>
      </c>
      <c r="H61" s="482">
        <f t="shared" si="19"/>
        <v>10.278266877109264</v>
      </c>
      <c r="I61" s="482">
        <f t="shared" si="19"/>
        <v>9.701392084190525</v>
      </c>
      <c r="J61" s="482">
        <f t="shared" si="19"/>
        <v>9.1568947855209526</v>
      </c>
      <c r="K61" s="482">
        <f t="shared" si="19"/>
        <v>8.6429577719821733</v>
      </c>
      <c r="L61" s="482">
        <f t="shared" si="19"/>
        <v>8.1578658265665709</v>
      </c>
      <c r="M61" s="482">
        <f t="shared" si="19"/>
        <v>7.7</v>
      </c>
      <c r="N61" s="482">
        <f t="shared" si="19"/>
        <v>7.2678322076490396</v>
      </c>
      <c r="O61" s="482">
        <f t="shared" si="19"/>
        <v>6.8599201296806109</v>
      </c>
      <c r="P61" s="482">
        <f t="shared" si="19"/>
        <v>6.4749023974536009</v>
      </c>
      <c r="Q61" s="482">
        <f t="shared" si="19"/>
        <v>6.1114940500775674</v>
      </c>
      <c r="R61" s="482">
        <f t="shared" si="19"/>
        <v>5.7684822459752221</v>
      </c>
      <c r="S61" s="482">
        <f t="shared" si="19"/>
        <v>5.444722215136415</v>
      </c>
      <c r="T61" s="482">
        <f t="shared" si="19"/>
        <v>5.139133438554631</v>
      </c>
      <c r="U61" s="482">
        <f t="shared" si="19"/>
        <v>4.8506960420952607</v>
      </c>
      <c r="V61" s="482">
        <f t="shared" si="19"/>
        <v>4.5784473927604754</v>
      </c>
    </row>
    <row r="64" spans="1:22" ht="18" x14ac:dyDescent="0.25">
      <c r="A64" s="833" t="s">
        <v>6736</v>
      </c>
    </row>
    <row r="65" spans="1:1" x14ac:dyDescent="0.2">
      <c r="A65" s="734" t="s">
        <v>6737</v>
      </c>
    </row>
    <row r="67" spans="1:1" x14ac:dyDescent="0.2">
      <c r="A67" s="609" t="s">
        <v>6355</v>
      </c>
    </row>
    <row r="68" spans="1:1" x14ac:dyDescent="0.2">
      <c r="A68" t="s">
        <v>6738</v>
      </c>
    </row>
    <row r="69" spans="1:1" x14ac:dyDescent="0.2">
      <c r="A69" t="s">
        <v>6739</v>
      </c>
    </row>
    <row r="70" spans="1:1" x14ac:dyDescent="0.2">
      <c r="A70" t="s">
        <v>6740</v>
      </c>
    </row>
    <row r="72" spans="1:1" x14ac:dyDescent="0.2">
      <c r="A72" s="609" t="s">
        <v>6359</v>
      </c>
    </row>
    <row r="73" spans="1:1" x14ac:dyDescent="0.2">
      <c r="A73" t="s">
        <v>6741</v>
      </c>
    </row>
    <row r="74" spans="1:1" x14ac:dyDescent="0.2">
      <c r="A74" t="s">
        <v>6742</v>
      </c>
    </row>
    <row r="75" spans="1:1" x14ac:dyDescent="0.2">
      <c r="A75" t="s">
        <v>6743</v>
      </c>
    </row>
    <row r="77" spans="1:1" x14ac:dyDescent="0.2">
      <c r="A77" s="609" t="s">
        <v>6654</v>
      </c>
    </row>
    <row r="78" spans="1:1" x14ac:dyDescent="0.2">
      <c r="A78" t="s">
        <v>6744</v>
      </c>
    </row>
    <row r="79" spans="1:1" x14ac:dyDescent="0.2">
      <c r="A79" t="s">
        <v>6745</v>
      </c>
    </row>
    <row r="80" spans="1:1" x14ac:dyDescent="0.2">
      <c r="A80" t="s">
        <v>6746</v>
      </c>
    </row>
    <row r="82" spans="1:1" x14ac:dyDescent="0.2">
      <c r="A82" s="609" t="s">
        <v>6658</v>
      </c>
    </row>
    <row r="83" spans="1:1" x14ac:dyDescent="0.2">
      <c r="A83" t="s">
        <v>6747</v>
      </c>
    </row>
    <row r="84" spans="1:1" x14ac:dyDescent="0.2">
      <c r="A84" t="s">
        <v>6748</v>
      </c>
    </row>
    <row r="86" spans="1:1" x14ac:dyDescent="0.2">
      <c r="A86" s="609" t="s">
        <v>6661</v>
      </c>
    </row>
    <row r="87" spans="1:1" x14ac:dyDescent="0.2">
      <c r="A87" t="s">
        <v>6749</v>
      </c>
    </row>
    <row r="88" spans="1:1" x14ac:dyDescent="0.2">
      <c r="A88" t="s">
        <v>6750</v>
      </c>
    </row>
    <row r="89" spans="1:1" x14ac:dyDescent="0.2">
      <c r="A89" t="s">
        <v>6717</v>
      </c>
    </row>
    <row r="91" spans="1:1" x14ac:dyDescent="0.2">
      <c r="A91" s="609" t="s">
        <v>6682</v>
      </c>
    </row>
    <row r="92" spans="1:1" x14ac:dyDescent="0.2">
      <c r="A92" t="s">
        <v>6751</v>
      </c>
    </row>
    <row r="95" spans="1:1" ht="18" x14ac:dyDescent="0.25">
      <c r="A95" s="838" t="s">
        <v>7235</v>
      </c>
    </row>
    <row r="96" spans="1:1" x14ac:dyDescent="0.2">
      <c r="A96" s="734" t="s">
        <v>7131</v>
      </c>
    </row>
    <row r="98" spans="1:1" x14ac:dyDescent="0.2">
      <c r="A98" s="839" t="s">
        <v>7132</v>
      </c>
    </row>
    <row r="99" spans="1:1" x14ac:dyDescent="0.2">
      <c r="A99" t="s">
        <v>7236</v>
      </c>
    </row>
    <row r="100" spans="1:1" x14ac:dyDescent="0.2">
      <c r="A100" t="s">
        <v>7237</v>
      </c>
    </row>
    <row r="101" spans="1:1" x14ac:dyDescent="0.2">
      <c r="A101" t="s">
        <v>7238</v>
      </c>
    </row>
    <row r="102" spans="1:1" x14ac:dyDescent="0.2">
      <c r="A102" t="s">
        <v>7239</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1F65F-7EE6-4567-9898-61036B61952F}">
  <dimension ref="A1:V88"/>
  <sheetViews>
    <sheetView workbookViewId="0">
      <pane xSplit="2" ySplit="6" topLeftCell="C7" activePane="bottomRight" state="frozen"/>
      <selection pane="topRight" activeCell="C1" sqref="C1"/>
      <selection pane="bottomLeft" activeCell="A7" sqref="A7"/>
      <selection pane="bottomRight"/>
    </sheetView>
  </sheetViews>
  <sheetFormatPr defaultRowHeight="12.75" x14ac:dyDescent="0.2"/>
  <cols>
    <col min="1" max="1" width="137.140625" customWidth="1"/>
    <col min="2" max="2" width="21" customWidth="1"/>
    <col min="3" max="22" width="16.140625" customWidth="1"/>
  </cols>
  <sheetData>
    <row r="1" spans="1:22" ht="18" x14ac:dyDescent="0.25">
      <c r="A1" s="470" t="s">
        <v>1208</v>
      </c>
    </row>
    <row r="2" spans="1:22" x14ac:dyDescent="0.2">
      <c r="A2" s="537" t="s">
        <v>1209</v>
      </c>
    </row>
    <row r="3" spans="1:22" x14ac:dyDescent="0.2">
      <c r="A3" t="s">
        <v>1210</v>
      </c>
      <c r="C3" s="621" t="s">
        <v>773</v>
      </c>
      <c r="D3" s="621" t="s">
        <v>787</v>
      </c>
      <c r="E3" s="621" t="s">
        <v>784</v>
      </c>
      <c r="F3" s="621" t="s">
        <v>792</v>
      </c>
      <c r="G3" s="621" t="s">
        <v>800</v>
      </c>
      <c r="H3" s="621" t="s">
        <v>205</v>
      </c>
      <c r="I3" s="621" t="s">
        <v>206</v>
      </c>
      <c r="J3" s="621" t="s">
        <v>207</v>
      </c>
      <c r="K3" s="621" t="s">
        <v>208</v>
      </c>
      <c r="L3" s="621" t="s">
        <v>209</v>
      </c>
      <c r="M3" s="621" t="s">
        <v>6</v>
      </c>
      <c r="N3" s="621" t="s">
        <v>7</v>
      </c>
      <c r="O3" s="621" t="s">
        <v>8</v>
      </c>
      <c r="P3" s="621" t="s">
        <v>9</v>
      </c>
      <c r="Q3" s="621" t="s">
        <v>10</v>
      </c>
      <c r="R3" s="621" t="s">
        <v>240</v>
      </c>
      <c r="S3" s="621" t="s">
        <v>12</v>
      </c>
      <c r="T3" s="621" t="s">
        <v>13</v>
      </c>
      <c r="U3" s="621" t="s">
        <v>14</v>
      </c>
      <c r="V3" s="621" t="s">
        <v>15</v>
      </c>
    </row>
    <row r="4" spans="1:22" x14ac:dyDescent="0.2">
      <c r="A4" t="s">
        <v>1013</v>
      </c>
      <c r="C4" s="611">
        <v>30</v>
      </c>
      <c r="D4" s="611">
        <v>31</v>
      </c>
      <c r="E4" s="611">
        <v>32</v>
      </c>
      <c r="F4" s="611">
        <v>33</v>
      </c>
      <c r="G4" s="611">
        <v>34</v>
      </c>
      <c r="H4" s="611">
        <v>35</v>
      </c>
      <c r="I4" s="611">
        <v>36</v>
      </c>
      <c r="J4" s="611">
        <v>37</v>
      </c>
      <c r="K4" s="611">
        <v>38</v>
      </c>
      <c r="L4" s="611">
        <v>39</v>
      </c>
      <c r="M4" s="611">
        <v>40</v>
      </c>
      <c r="N4" s="611">
        <v>41</v>
      </c>
      <c r="O4" s="611">
        <v>42</v>
      </c>
      <c r="P4" s="611">
        <v>43</v>
      </c>
      <c r="Q4" s="611">
        <v>44</v>
      </c>
      <c r="R4" s="611">
        <v>45</v>
      </c>
      <c r="S4" s="611">
        <v>46</v>
      </c>
      <c r="T4" s="611">
        <v>47</v>
      </c>
      <c r="U4" s="611">
        <v>48</v>
      </c>
      <c r="V4" s="611">
        <v>49</v>
      </c>
    </row>
    <row r="5" spans="1:22" x14ac:dyDescent="0.2">
      <c r="A5" t="s">
        <v>1211</v>
      </c>
      <c r="C5" s="654" t="s">
        <v>1007</v>
      </c>
      <c r="D5" s="654" t="s">
        <v>1006</v>
      </c>
      <c r="E5" s="654" t="s">
        <v>500</v>
      </c>
      <c r="F5" s="654" t="s">
        <v>243</v>
      </c>
      <c r="G5" s="654" t="s">
        <v>5</v>
      </c>
      <c r="H5" s="654" t="s">
        <v>244</v>
      </c>
      <c r="I5" s="654" t="s">
        <v>245</v>
      </c>
      <c r="J5" s="654" t="s">
        <v>24</v>
      </c>
      <c r="K5" s="654" t="s">
        <v>254</v>
      </c>
      <c r="L5" s="654" t="s">
        <v>25</v>
      </c>
      <c r="M5" s="654" t="s">
        <v>11</v>
      </c>
      <c r="N5" s="654" t="s">
        <v>26</v>
      </c>
      <c r="O5" s="654" t="s">
        <v>27</v>
      </c>
      <c r="P5" s="654" t="s">
        <v>28</v>
      </c>
      <c r="Q5" s="654" t="s">
        <v>29</v>
      </c>
      <c r="R5" s="654" t="s">
        <v>30</v>
      </c>
      <c r="S5" s="654" t="s">
        <v>31</v>
      </c>
      <c r="T5" s="654" t="s">
        <v>32</v>
      </c>
      <c r="U5" s="654" t="s">
        <v>33</v>
      </c>
      <c r="V5" s="654" t="s">
        <v>34</v>
      </c>
    </row>
    <row r="6" spans="1:22" x14ac:dyDescent="0.2">
      <c r="A6" t="s">
        <v>1195</v>
      </c>
      <c r="C6" s="655" t="s">
        <v>1234</v>
      </c>
      <c r="D6" s="655" t="s">
        <v>1234</v>
      </c>
      <c r="E6" s="655" t="s">
        <v>1234</v>
      </c>
      <c r="F6" s="655" t="s">
        <v>1234</v>
      </c>
      <c r="G6" s="655" t="s">
        <v>1237</v>
      </c>
      <c r="H6" s="655" t="s">
        <v>1237</v>
      </c>
      <c r="I6" s="655" t="s">
        <v>1237</v>
      </c>
      <c r="J6" s="655" t="s">
        <v>1237</v>
      </c>
      <c r="K6" s="655" t="s">
        <v>1237</v>
      </c>
      <c r="L6" s="655" t="s">
        <v>1237</v>
      </c>
      <c r="M6" s="655" t="s">
        <v>1237</v>
      </c>
      <c r="N6" s="655" t="s">
        <v>1238</v>
      </c>
      <c r="O6" s="655" t="s">
        <v>1238</v>
      </c>
      <c r="P6" s="655" t="s">
        <v>1238</v>
      </c>
      <c r="Q6" s="655" t="s">
        <v>1238</v>
      </c>
      <c r="R6" s="655" t="s">
        <v>1238</v>
      </c>
      <c r="S6" s="655" t="s">
        <v>1238</v>
      </c>
      <c r="T6" s="655" t="s">
        <v>1238</v>
      </c>
      <c r="U6" s="655" t="s">
        <v>1239</v>
      </c>
      <c r="V6" s="655" t="s">
        <v>1239</v>
      </c>
    </row>
    <row r="8" spans="1:22" x14ac:dyDescent="0.2">
      <c r="A8" t="s">
        <v>1024</v>
      </c>
      <c r="C8" s="482">
        <v>0.75</v>
      </c>
      <c r="D8" s="482">
        <v>0.75</v>
      </c>
      <c r="E8" s="482">
        <v>0.75</v>
      </c>
      <c r="F8" s="482">
        <v>0.75</v>
      </c>
      <c r="G8" s="482">
        <v>0.625</v>
      </c>
      <c r="H8" s="482">
        <v>0.625</v>
      </c>
      <c r="I8" s="482">
        <v>0.625</v>
      </c>
      <c r="J8" s="482">
        <v>0.625</v>
      </c>
      <c r="K8" s="482">
        <v>0.625</v>
      </c>
      <c r="L8" s="482">
        <v>0.625</v>
      </c>
      <c r="M8" s="482">
        <v>0.625</v>
      </c>
      <c r="N8" s="482">
        <v>0.5</v>
      </c>
      <c r="O8" s="482">
        <v>0.5</v>
      </c>
      <c r="P8" s="482">
        <v>0.5</v>
      </c>
      <c r="Q8" s="482">
        <v>0.5</v>
      </c>
      <c r="R8" s="482">
        <v>0.5</v>
      </c>
      <c r="S8" s="482">
        <v>0.5</v>
      </c>
      <c r="T8" s="482">
        <v>0.5</v>
      </c>
      <c r="U8" s="482">
        <v>0.375</v>
      </c>
      <c r="V8" s="482">
        <v>0.375</v>
      </c>
    </row>
    <row r="9" spans="1:22" x14ac:dyDescent="0.2">
      <c r="A9" t="s">
        <v>226</v>
      </c>
      <c r="C9" s="482">
        <v>0.125</v>
      </c>
      <c r="D9" s="482">
        <v>0.125</v>
      </c>
      <c r="E9" s="482">
        <v>0.125</v>
      </c>
      <c r="F9" s="482">
        <v>0.125</v>
      </c>
      <c r="G9" s="482">
        <v>9.8000000000000004E-2</v>
      </c>
      <c r="H9" s="482">
        <v>9.8000000000000004E-2</v>
      </c>
      <c r="I9" s="482">
        <v>9.8000000000000004E-2</v>
      </c>
      <c r="J9" s="482">
        <v>9.8000000000000004E-2</v>
      </c>
      <c r="K9" s="482">
        <v>9.8000000000000004E-2</v>
      </c>
      <c r="L9" s="482">
        <v>9.8000000000000004E-2</v>
      </c>
      <c r="M9" s="482">
        <v>9.8000000000000004E-2</v>
      </c>
      <c r="N9" s="482">
        <v>7.9000000000000001E-2</v>
      </c>
      <c r="O9" s="482">
        <v>7.9000000000000001E-2</v>
      </c>
      <c r="P9" s="482">
        <v>7.9000000000000001E-2</v>
      </c>
      <c r="Q9" s="482">
        <v>7.9000000000000001E-2</v>
      </c>
      <c r="R9" s="482">
        <v>7.9000000000000001E-2</v>
      </c>
      <c r="S9" s="482">
        <v>7.9000000000000001E-2</v>
      </c>
      <c r="T9" s="482">
        <v>7.9000000000000001E-2</v>
      </c>
      <c r="U9" s="482">
        <v>5.8999999999999997E-2</v>
      </c>
      <c r="V9" s="482">
        <v>5.8999999999999997E-2</v>
      </c>
    </row>
    <row r="10" spans="1:22" x14ac:dyDescent="0.2">
      <c r="A10" t="s">
        <v>1129</v>
      </c>
      <c r="C10" s="482">
        <f t="shared" ref="C10:V10" si="0">C8+2*C9</f>
        <v>1</v>
      </c>
      <c r="D10" s="482">
        <f t="shared" si="0"/>
        <v>1</v>
      </c>
      <c r="E10" s="482">
        <f t="shared" si="0"/>
        <v>1</v>
      </c>
      <c r="F10" s="482">
        <f t="shared" si="0"/>
        <v>1</v>
      </c>
      <c r="G10" s="482">
        <f t="shared" si="0"/>
        <v>0.82099999999999995</v>
      </c>
      <c r="H10" s="482">
        <f t="shared" si="0"/>
        <v>0.82099999999999995</v>
      </c>
      <c r="I10" s="482">
        <f t="shared" si="0"/>
        <v>0.82099999999999995</v>
      </c>
      <c r="J10" s="482">
        <f t="shared" si="0"/>
        <v>0.82099999999999995</v>
      </c>
      <c r="K10" s="482">
        <f t="shared" si="0"/>
        <v>0.82099999999999995</v>
      </c>
      <c r="L10" s="482">
        <f t="shared" si="0"/>
        <v>0.82099999999999995</v>
      </c>
      <c r="M10" s="482">
        <f t="shared" si="0"/>
        <v>0.82099999999999995</v>
      </c>
      <c r="N10" s="482">
        <f t="shared" si="0"/>
        <v>0.65800000000000003</v>
      </c>
      <c r="O10" s="482">
        <f t="shared" si="0"/>
        <v>0.65800000000000003</v>
      </c>
      <c r="P10" s="482">
        <f t="shared" si="0"/>
        <v>0.65800000000000003</v>
      </c>
      <c r="Q10" s="482">
        <f t="shared" si="0"/>
        <v>0.65800000000000003</v>
      </c>
      <c r="R10" s="482">
        <f t="shared" si="0"/>
        <v>0.65800000000000003</v>
      </c>
      <c r="S10" s="482">
        <f t="shared" si="0"/>
        <v>0.65800000000000003</v>
      </c>
      <c r="T10" s="482">
        <f t="shared" si="0"/>
        <v>0.65800000000000003</v>
      </c>
      <c r="U10" s="482">
        <f t="shared" si="0"/>
        <v>0.49299999999999999</v>
      </c>
      <c r="V10" s="482">
        <f t="shared" si="0"/>
        <v>0.49299999999999999</v>
      </c>
    </row>
    <row r="12" spans="1:22" ht="15" x14ac:dyDescent="0.25">
      <c r="A12" s="640" t="s">
        <v>1212</v>
      </c>
    </row>
    <row r="13" spans="1:22" x14ac:dyDescent="0.2">
      <c r="A13" s="652" t="s">
        <v>1213</v>
      </c>
      <c r="B13" s="537" t="s">
        <v>785</v>
      </c>
      <c r="C13" s="656" t="s">
        <v>773</v>
      </c>
      <c r="D13" s="656" t="s">
        <v>1236</v>
      </c>
      <c r="E13" s="656" t="s">
        <v>784</v>
      </c>
      <c r="F13" s="656" t="s">
        <v>792</v>
      </c>
      <c r="G13" s="656" t="s">
        <v>982</v>
      </c>
      <c r="H13" s="656" t="s">
        <v>205</v>
      </c>
      <c r="I13" s="656" t="s">
        <v>1178</v>
      </c>
      <c r="J13" s="656" t="s">
        <v>207</v>
      </c>
      <c r="K13" s="656" t="s">
        <v>1179</v>
      </c>
      <c r="L13" s="656" t="s">
        <v>209</v>
      </c>
      <c r="M13" s="656" t="s">
        <v>6</v>
      </c>
      <c r="N13" s="656" t="s">
        <v>276</v>
      </c>
      <c r="O13" s="656" t="s">
        <v>8</v>
      </c>
      <c r="P13" s="656" t="s">
        <v>937</v>
      </c>
      <c r="Q13" s="656" t="s">
        <v>10</v>
      </c>
      <c r="R13" s="656" t="s">
        <v>240</v>
      </c>
      <c r="S13" s="656" t="s">
        <v>275</v>
      </c>
      <c r="T13" s="656" t="s">
        <v>13</v>
      </c>
      <c r="U13" s="656" t="s">
        <v>938</v>
      </c>
      <c r="V13" s="656" t="s">
        <v>15</v>
      </c>
    </row>
    <row r="14" spans="1:22" x14ac:dyDescent="0.2">
      <c r="B14" s="537" t="s">
        <v>1214</v>
      </c>
      <c r="C14" s="657">
        <f t="shared" ref="C14:V14" si="1">3388/(((2^(1/12))^(C4+0-49))*440)-0.82*C8</f>
        <v>22.458928983900904</v>
      </c>
      <c r="D14" s="657">
        <f t="shared" si="1"/>
        <v>21.163888860545672</v>
      </c>
      <c r="E14" s="657">
        <f t="shared" si="1"/>
        <v>19.941533754218536</v>
      </c>
      <c r="F14" s="657">
        <f t="shared" si="1"/>
        <v>18.787784168381052</v>
      </c>
      <c r="G14" s="657">
        <f t="shared" si="1"/>
        <v>17.801289571041909</v>
      </c>
      <c r="H14" s="657">
        <f t="shared" si="1"/>
        <v>16.773415543964347</v>
      </c>
      <c r="I14" s="657">
        <f t="shared" si="1"/>
        <v>15.80323165313315</v>
      </c>
      <c r="J14" s="657">
        <f t="shared" si="1"/>
        <v>14.887500000000001</v>
      </c>
      <c r="K14" s="657">
        <f t="shared" si="1"/>
        <v>14.023164415298083</v>
      </c>
      <c r="L14" s="657">
        <f t="shared" si="1"/>
        <v>13.207340259361228</v>
      </c>
      <c r="M14" s="657">
        <f t="shared" si="1"/>
        <v>12.437304794907206</v>
      </c>
      <c r="N14" s="657">
        <f t="shared" si="1"/>
        <v>11.812988100155136</v>
      </c>
      <c r="O14" s="657">
        <f t="shared" si="1"/>
        <v>11.126964491950449</v>
      </c>
      <c r="P14" s="657">
        <f t="shared" si="1"/>
        <v>10.479444430272833</v>
      </c>
      <c r="Q14" s="657">
        <f t="shared" si="1"/>
        <v>9.8682668771092654</v>
      </c>
      <c r="R14" s="657">
        <f t="shared" si="1"/>
        <v>9.2913920841905231</v>
      </c>
      <c r="S14" s="657">
        <f t="shared" si="1"/>
        <v>8.7468947855209542</v>
      </c>
      <c r="T14" s="657">
        <f t="shared" si="1"/>
        <v>8.2329577719821732</v>
      </c>
      <c r="U14" s="657">
        <f t="shared" si="1"/>
        <v>7.8503658265665743</v>
      </c>
      <c r="V14" s="657">
        <f t="shared" si="1"/>
        <v>7.3925000000000001</v>
      </c>
    </row>
    <row r="15" spans="1:22" x14ac:dyDescent="0.2">
      <c r="A15" s="652" t="s">
        <v>1215</v>
      </c>
      <c r="B15" s="537" t="s">
        <v>785</v>
      </c>
      <c r="C15" s="656" t="s">
        <v>982</v>
      </c>
      <c r="D15" s="656" t="s">
        <v>205</v>
      </c>
      <c r="E15" s="656" t="s">
        <v>1178</v>
      </c>
      <c r="F15" s="656" t="s">
        <v>207</v>
      </c>
      <c r="G15" s="656" t="s">
        <v>1179</v>
      </c>
      <c r="H15" s="656" t="s">
        <v>209</v>
      </c>
      <c r="I15" s="656" t="s">
        <v>6</v>
      </c>
      <c r="J15" s="656" t="s">
        <v>276</v>
      </c>
      <c r="K15" s="656" t="s">
        <v>8</v>
      </c>
      <c r="L15" s="656" t="s">
        <v>937</v>
      </c>
      <c r="M15" s="656" t="s">
        <v>10</v>
      </c>
      <c r="N15" s="656" t="s">
        <v>240</v>
      </c>
      <c r="O15" s="656" t="s">
        <v>275</v>
      </c>
      <c r="P15" s="656" t="s">
        <v>13</v>
      </c>
      <c r="Q15" s="656" t="s">
        <v>938</v>
      </c>
      <c r="R15" s="656" t="s">
        <v>15</v>
      </c>
      <c r="S15" s="656" t="s">
        <v>939</v>
      </c>
      <c r="T15" s="656" t="s">
        <v>17</v>
      </c>
      <c r="U15" s="656" t="s">
        <v>18</v>
      </c>
      <c r="V15" s="656" t="s">
        <v>936</v>
      </c>
    </row>
    <row r="16" spans="1:22" x14ac:dyDescent="0.2">
      <c r="B16" s="537" t="s">
        <v>1214</v>
      </c>
      <c r="C16" s="657">
        <f t="shared" ref="C16:V16" si="2">3388/(((2^(1/12))^(C4+4-49))*440)-0.82*C8</f>
        <v>17.69878957104191</v>
      </c>
      <c r="D16" s="657">
        <f t="shared" si="2"/>
        <v>16.670915543964348</v>
      </c>
      <c r="E16" s="657">
        <f t="shared" si="2"/>
        <v>15.700731653133149</v>
      </c>
      <c r="F16" s="657">
        <f t="shared" si="2"/>
        <v>14.785</v>
      </c>
      <c r="G16" s="657">
        <f t="shared" si="2"/>
        <v>14.023164415298083</v>
      </c>
      <c r="H16" s="657">
        <f t="shared" si="2"/>
        <v>13.207340259361228</v>
      </c>
      <c r="I16" s="657">
        <f t="shared" si="2"/>
        <v>12.437304794907206</v>
      </c>
      <c r="J16" s="657">
        <f t="shared" si="2"/>
        <v>11.710488100155137</v>
      </c>
      <c r="K16" s="657">
        <f t="shared" si="2"/>
        <v>11.02446449195045</v>
      </c>
      <c r="L16" s="657">
        <f t="shared" si="2"/>
        <v>10.376944430272834</v>
      </c>
      <c r="M16" s="657">
        <f t="shared" si="2"/>
        <v>9.7657668771092663</v>
      </c>
      <c r="N16" s="657">
        <f t="shared" si="2"/>
        <v>9.2913920841905231</v>
      </c>
      <c r="O16" s="657">
        <f t="shared" si="2"/>
        <v>8.7468947855209542</v>
      </c>
      <c r="P16" s="657">
        <f t="shared" si="2"/>
        <v>8.2329577719821732</v>
      </c>
      <c r="Q16" s="657">
        <f t="shared" si="2"/>
        <v>7.7478658265665743</v>
      </c>
      <c r="R16" s="657">
        <f t="shared" si="2"/>
        <v>7.29</v>
      </c>
      <c r="S16" s="657">
        <f t="shared" si="2"/>
        <v>6.8578322076490394</v>
      </c>
      <c r="T16" s="657">
        <f t="shared" si="2"/>
        <v>6.4499201296806126</v>
      </c>
      <c r="U16" s="657">
        <f t="shared" si="2"/>
        <v>6.1674023974536007</v>
      </c>
      <c r="V16" s="657">
        <f t="shared" si="2"/>
        <v>5.8039940500775682</v>
      </c>
    </row>
    <row r="17" spans="1:22" x14ac:dyDescent="0.2">
      <c r="A17" s="652" t="s">
        <v>1216</v>
      </c>
      <c r="B17" s="537" t="s">
        <v>785</v>
      </c>
      <c r="C17" s="656" t="s">
        <v>207</v>
      </c>
      <c r="D17" s="656" t="s">
        <v>1179</v>
      </c>
      <c r="E17" s="656" t="s">
        <v>209</v>
      </c>
      <c r="F17" s="656" t="s">
        <v>6</v>
      </c>
      <c r="G17" s="656" t="s">
        <v>276</v>
      </c>
      <c r="H17" s="656" t="s">
        <v>8</v>
      </c>
      <c r="I17" s="656" t="s">
        <v>937</v>
      </c>
      <c r="J17" s="656" t="s">
        <v>10</v>
      </c>
      <c r="K17" s="656" t="s">
        <v>240</v>
      </c>
      <c r="L17" s="656" t="s">
        <v>275</v>
      </c>
      <c r="M17" s="656" t="s">
        <v>13</v>
      </c>
      <c r="N17" s="656" t="s">
        <v>938</v>
      </c>
      <c r="O17" s="656" t="s">
        <v>15</v>
      </c>
      <c r="P17" s="656" t="s">
        <v>939</v>
      </c>
      <c r="Q17" s="656" t="s">
        <v>17</v>
      </c>
      <c r="R17" s="656" t="s">
        <v>18</v>
      </c>
      <c r="S17" s="656" t="s">
        <v>936</v>
      </c>
      <c r="T17" s="656" t="s">
        <v>20</v>
      </c>
      <c r="U17" s="656" t="s">
        <v>940</v>
      </c>
      <c r="V17" s="656" t="s">
        <v>210</v>
      </c>
    </row>
    <row r="18" spans="1:22" x14ac:dyDescent="0.2">
      <c r="B18" s="537" t="s">
        <v>1214</v>
      </c>
      <c r="C18" s="657">
        <f t="shared" ref="C18:V18" si="3">3388/(((2^(1/12))^(C4+7-49))*440)-0.82*C8</f>
        <v>14.785</v>
      </c>
      <c r="D18" s="657">
        <f t="shared" si="3"/>
        <v>13.920664415298083</v>
      </c>
      <c r="E18" s="657">
        <f t="shared" si="3"/>
        <v>13.104840259361227</v>
      </c>
      <c r="F18" s="657">
        <f t="shared" si="3"/>
        <v>12.334804794907205</v>
      </c>
      <c r="G18" s="657">
        <f t="shared" si="3"/>
        <v>11.710488100155137</v>
      </c>
      <c r="H18" s="657">
        <f t="shared" si="3"/>
        <v>11.02446449195045</v>
      </c>
      <c r="I18" s="657">
        <f t="shared" si="3"/>
        <v>10.376944430272834</v>
      </c>
      <c r="J18" s="657">
        <f t="shared" si="3"/>
        <v>9.7657668771092663</v>
      </c>
      <c r="K18" s="657">
        <f t="shared" si="3"/>
        <v>9.1888920841905239</v>
      </c>
      <c r="L18" s="657">
        <f t="shared" si="3"/>
        <v>8.6443947855209551</v>
      </c>
      <c r="M18" s="657">
        <f t="shared" si="3"/>
        <v>8.130457771982174</v>
      </c>
      <c r="N18" s="657">
        <f t="shared" si="3"/>
        <v>7.7478658265665743</v>
      </c>
      <c r="O18" s="657">
        <f t="shared" si="3"/>
        <v>7.29</v>
      </c>
      <c r="P18" s="657">
        <f t="shared" si="3"/>
        <v>6.8578322076490394</v>
      </c>
      <c r="Q18" s="657">
        <f t="shared" si="3"/>
        <v>6.4499201296806126</v>
      </c>
      <c r="R18" s="657">
        <f t="shared" si="3"/>
        <v>6.0649023974536007</v>
      </c>
      <c r="S18" s="657">
        <f t="shared" si="3"/>
        <v>5.7014940500775682</v>
      </c>
      <c r="T18" s="657">
        <f t="shared" si="3"/>
        <v>5.3584822459752237</v>
      </c>
      <c r="U18" s="657">
        <f t="shared" si="3"/>
        <v>5.1372222151364157</v>
      </c>
      <c r="V18" s="657">
        <f t="shared" si="3"/>
        <v>4.8316334385546318</v>
      </c>
    </row>
    <row r="19" spans="1:22" x14ac:dyDescent="0.2">
      <c r="A19" s="652" t="s">
        <v>1217</v>
      </c>
      <c r="B19" s="537" t="s">
        <v>785</v>
      </c>
      <c r="C19" s="656" t="s">
        <v>6</v>
      </c>
      <c r="D19" s="656" t="s">
        <v>276</v>
      </c>
      <c r="E19" s="656" t="s">
        <v>8</v>
      </c>
      <c r="F19" s="656" t="s">
        <v>937</v>
      </c>
      <c r="G19" s="656" t="s">
        <v>10</v>
      </c>
      <c r="H19" s="656" t="s">
        <v>240</v>
      </c>
      <c r="I19" s="656" t="s">
        <v>275</v>
      </c>
      <c r="J19" s="656" t="s">
        <v>13</v>
      </c>
      <c r="K19" s="656" t="s">
        <v>938</v>
      </c>
      <c r="L19" s="656" t="s">
        <v>15</v>
      </c>
      <c r="M19" s="656" t="s">
        <v>939</v>
      </c>
      <c r="N19" s="656" t="s">
        <v>17</v>
      </c>
      <c r="O19" s="656" t="s">
        <v>18</v>
      </c>
      <c r="P19" s="656" t="s">
        <v>936</v>
      </c>
      <c r="Q19" s="656" t="s">
        <v>20</v>
      </c>
      <c r="R19" s="656" t="s">
        <v>940</v>
      </c>
      <c r="S19" s="656" t="s">
        <v>210</v>
      </c>
      <c r="T19" s="656" t="s">
        <v>211</v>
      </c>
      <c r="U19" s="656" t="s">
        <v>941</v>
      </c>
      <c r="V19" s="656" t="s">
        <v>212</v>
      </c>
    </row>
    <row r="20" spans="1:22" x14ac:dyDescent="0.2">
      <c r="B20" s="537" t="s">
        <v>1214</v>
      </c>
      <c r="C20" s="657">
        <f t="shared" ref="C20:V20" si="4">3388/(((2^(1/12))^(C4+10-49))*440)-0.82*C8</f>
        <v>12.334804794907205</v>
      </c>
      <c r="D20" s="657">
        <f t="shared" si="4"/>
        <v>11.607988100155136</v>
      </c>
      <c r="E20" s="657">
        <f t="shared" si="4"/>
        <v>10.921964491950449</v>
      </c>
      <c r="F20" s="657">
        <f t="shared" si="4"/>
        <v>10.274444430272833</v>
      </c>
      <c r="G20" s="657">
        <f t="shared" si="4"/>
        <v>9.7657668771092663</v>
      </c>
      <c r="H20" s="657">
        <f t="shared" si="4"/>
        <v>9.1888920841905239</v>
      </c>
      <c r="I20" s="657">
        <f t="shared" si="4"/>
        <v>8.6443947855209551</v>
      </c>
      <c r="J20" s="657">
        <f t="shared" si="4"/>
        <v>8.130457771982174</v>
      </c>
      <c r="K20" s="657">
        <f t="shared" si="4"/>
        <v>7.6453658265665743</v>
      </c>
      <c r="L20" s="657">
        <f t="shared" si="4"/>
        <v>7.1875</v>
      </c>
      <c r="M20" s="657">
        <f t="shared" si="4"/>
        <v>6.7553322076490394</v>
      </c>
      <c r="N20" s="657">
        <f t="shared" si="4"/>
        <v>6.4499201296806126</v>
      </c>
      <c r="O20" s="657">
        <f t="shared" si="4"/>
        <v>6.0649023974536007</v>
      </c>
      <c r="P20" s="657">
        <f t="shared" si="4"/>
        <v>5.7014940500775682</v>
      </c>
      <c r="Q20" s="657">
        <f t="shared" si="4"/>
        <v>5.3584822459752237</v>
      </c>
      <c r="R20" s="657">
        <f t="shared" si="4"/>
        <v>5.0347222151364157</v>
      </c>
      <c r="S20" s="657">
        <f t="shared" si="4"/>
        <v>4.7291334385546318</v>
      </c>
      <c r="T20" s="657">
        <f t="shared" si="4"/>
        <v>4.4406960420952615</v>
      </c>
      <c r="U20" s="657">
        <f t="shared" si="4"/>
        <v>4.2709473927604753</v>
      </c>
      <c r="V20" s="657">
        <f t="shared" si="4"/>
        <v>4.0139788859910857</v>
      </c>
    </row>
    <row r="21" spans="1:22" x14ac:dyDescent="0.2">
      <c r="A21" s="652" t="s">
        <v>1218</v>
      </c>
      <c r="B21" s="537" t="s">
        <v>785</v>
      </c>
      <c r="C21" s="656" t="s">
        <v>10</v>
      </c>
      <c r="D21" s="656" t="s">
        <v>240</v>
      </c>
      <c r="E21" s="656" t="s">
        <v>275</v>
      </c>
      <c r="F21" s="656" t="s">
        <v>13</v>
      </c>
      <c r="G21" s="656" t="s">
        <v>938</v>
      </c>
      <c r="H21" s="656" t="s">
        <v>15</v>
      </c>
      <c r="I21" s="656" t="s">
        <v>939</v>
      </c>
      <c r="J21" s="656" t="s">
        <v>17</v>
      </c>
      <c r="K21" s="656" t="s">
        <v>18</v>
      </c>
      <c r="L21" s="656" t="s">
        <v>936</v>
      </c>
      <c r="M21" s="656" t="s">
        <v>20</v>
      </c>
      <c r="N21" s="656" t="s">
        <v>940</v>
      </c>
      <c r="O21" s="656" t="s">
        <v>210</v>
      </c>
      <c r="P21" s="656" t="s">
        <v>211</v>
      </c>
      <c r="Q21" s="656" t="s">
        <v>941</v>
      </c>
      <c r="R21" s="656" t="s">
        <v>212</v>
      </c>
      <c r="S21" s="656" t="s">
        <v>942</v>
      </c>
      <c r="T21" s="656" t="s">
        <v>725</v>
      </c>
      <c r="U21" s="656" t="s">
        <v>943</v>
      </c>
      <c r="V21" s="656" t="s">
        <v>734</v>
      </c>
    </row>
    <row r="22" spans="1:22" x14ac:dyDescent="0.2">
      <c r="B22" s="537" t="s">
        <v>1214</v>
      </c>
      <c r="C22" s="657">
        <f t="shared" ref="C22:V22" si="5">3388/(((2^(1/12))^(C4+14-49))*440)-0.82*C8</f>
        <v>9.6632668771092654</v>
      </c>
      <c r="D22" s="657">
        <f t="shared" si="5"/>
        <v>9.086392084190523</v>
      </c>
      <c r="E22" s="657">
        <f t="shared" si="5"/>
        <v>8.5418947855209542</v>
      </c>
      <c r="F22" s="657">
        <f t="shared" si="5"/>
        <v>8.0279577719821731</v>
      </c>
      <c r="G22" s="657">
        <f t="shared" si="5"/>
        <v>7.6453658265665743</v>
      </c>
      <c r="H22" s="657">
        <f t="shared" si="5"/>
        <v>7.1875</v>
      </c>
      <c r="I22" s="657">
        <f t="shared" si="5"/>
        <v>6.7553322076490394</v>
      </c>
      <c r="J22" s="657">
        <f t="shared" si="5"/>
        <v>6.3474201296806125</v>
      </c>
      <c r="K22" s="657">
        <f t="shared" si="5"/>
        <v>5.9624023974536007</v>
      </c>
      <c r="L22" s="657">
        <f t="shared" si="5"/>
        <v>5.5989940500775681</v>
      </c>
      <c r="M22" s="657">
        <f t="shared" si="5"/>
        <v>5.2559822459752237</v>
      </c>
      <c r="N22" s="657">
        <f t="shared" si="5"/>
        <v>5.0347222151364157</v>
      </c>
      <c r="O22" s="657">
        <f t="shared" si="5"/>
        <v>4.7291334385546318</v>
      </c>
      <c r="P22" s="657">
        <f t="shared" si="5"/>
        <v>4.4406960420952615</v>
      </c>
      <c r="Q22" s="657">
        <f t="shared" si="5"/>
        <v>4.1684473927604753</v>
      </c>
      <c r="R22" s="657">
        <f t="shared" si="5"/>
        <v>3.9114788859910856</v>
      </c>
      <c r="S22" s="657">
        <f t="shared" si="5"/>
        <v>3.6689329132832853</v>
      </c>
      <c r="T22" s="657">
        <f t="shared" si="5"/>
        <v>3.44</v>
      </c>
      <c r="U22" s="657">
        <f t="shared" si="5"/>
        <v>3.3264161038245197</v>
      </c>
      <c r="V22" s="657">
        <f t="shared" si="5"/>
        <v>3.1224600648403054</v>
      </c>
    </row>
    <row r="23" spans="1:22" x14ac:dyDescent="0.2">
      <c r="A23" s="652" t="s">
        <v>1219</v>
      </c>
      <c r="B23" s="537" t="s">
        <v>785</v>
      </c>
      <c r="C23" s="656" t="s">
        <v>13</v>
      </c>
      <c r="D23" s="656" t="s">
        <v>938</v>
      </c>
      <c r="E23" s="656" t="s">
        <v>15</v>
      </c>
      <c r="F23" s="656" t="s">
        <v>939</v>
      </c>
      <c r="G23" s="656" t="s">
        <v>17</v>
      </c>
      <c r="H23" s="656" t="s">
        <v>18</v>
      </c>
      <c r="I23" s="656" t="s">
        <v>936</v>
      </c>
      <c r="J23" s="656" t="s">
        <v>20</v>
      </c>
      <c r="K23" s="656" t="s">
        <v>940</v>
      </c>
      <c r="L23" s="656" t="s">
        <v>210</v>
      </c>
      <c r="M23" s="656" t="s">
        <v>211</v>
      </c>
      <c r="N23" s="656" t="s">
        <v>941</v>
      </c>
      <c r="O23" s="656" t="s">
        <v>212</v>
      </c>
      <c r="P23" s="656" t="s">
        <v>942</v>
      </c>
      <c r="Q23" s="656" t="s">
        <v>725</v>
      </c>
      <c r="R23" s="656" t="s">
        <v>943</v>
      </c>
      <c r="S23" s="656" t="s">
        <v>734</v>
      </c>
      <c r="T23" s="656" t="s">
        <v>737</v>
      </c>
      <c r="U23" s="656" t="s">
        <v>944</v>
      </c>
      <c r="V23" s="656" t="s">
        <v>740</v>
      </c>
    </row>
    <row r="24" spans="1:22" x14ac:dyDescent="0.2">
      <c r="B24" s="537" t="s">
        <v>1214</v>
      </c>
      <c r="C24" s="657">
        <f t="shared" ref="C24:V24" si="6">3388/(((2^(1/12))^(C4+17-49))*440)-0.82*C8</f>
        <v>8.0279577719821731</v>
      </c>
      <c r="D24" s="657">
        <f t="shared" si="6"/>
        <v>7.5428658265665742</v>
      </c>
      <c r="E24" s="657">
        <f t="shared" si="6"/>
        <v>7.085</v>
      </c>
      <c r="F24" s="657">
        <f t="shared" si="6"/>
        <v>6.6528322076490394</v>
      </c>
      <c r="G24" s="657">
        <f t="shared" si="6"/>
        <v>6.3474201296806125</v>
      </c>
      <c r="H24" s="657">
        <f t="shared" si="6"/>
        <v>5.9624023974536007</v>
      </c>
      <c r="I24" s="657">
        <f t="shared" si="6"/>
        <v>5.5989940500775681</v>
      </c>
      <c r="J24" s="657">
        <f t="shared" si="6"/>
        <v>5.2559822459752237</v>
      </c>
      <c r="K24" s="657">
        <f t="shared" si="6"/>
        <v>4.9322222151364157</v>
      </c>
      <c r="L24" s="657">
        <f t="shared" si="6"/>
        <v>4.6266334385546317</v>
      </c>
      <c r="M24" s="657">
        <f t="shared" si="6"/>
        <v>4.3381960420952614</v>
      </c>
      <c r="N24" s="657">
        <f t="shared" si="6"/>
        <v>4.1684473927604753</v>
      </c>
      <c r="O24" s="657">
        <f t="shared" si="6"/>
        <v>3.9114788859910856</v>
      </c>
      <c r="P24" s="657">
        <f t="shared" si="6"/>
        <v>3.6689329132832853</v>
      </c>
      <c r="Q24" s="657">
        <f t="shared" si="6"/>
        <v>3.44</v>
      </c>
      <c r="R24" s="657">
        <f t="shared" si="6"/>
        <v>3.2239161038245197</v>
      </c>
      <c r="S24" s="657">
        <f t="shared" si="6"/>
        <v>3.0199600648403053</v>
      </c>
      <c r="T24" s="657">
        <f t="shared" si="6"/>
        <v>2.8274511987268003</v>
      </c>
      <c r="U24" s="657">
        <f t="shared" si="6"/>
        <v>2.7482470250387836</v>
      </c>
      <c r="V24" s="657">
        <f t="shared" si="6"/>
        <v>2.5767411229876109</v>
      </c>
    </row>
    <row r="25" spans="1:22" x14ac:dyDescent="0.2">
      <c r="A25" s="652" t="s">
        <v>1220</v>
      </c>
      <c r="B25" s="537" t="s">
        <v>785</v>
      </c>
      <c r="C25" s="656" t="s">
        <v>17</v>
      </c>
      <c r="D25" s="656" t="s">
        <v>18</v>
      </c>
      <c r="E25" s="656" t="s">
        <v>936</v>
      </c>
      <c r="F25" s="656" t="s">
        <v>20</v>
      </c>
      <c r="G25" s="656" t="s">
        <v>940</v>
      </c>
      <c r="H25" s="656" t="s">
        <v>210</v>
      </c>
      <c r="I25" s="656" t="s">
        <v>211</v>
      </c>
      <c r="J25" s="656" t="s">
        <v>941</v>
      </c>
      <c r="K25" s="656" t="s">
        <v>212</v>
      </c>
      <c r="L25" s="656" t="s">
        <v>942</v>
      </c>
      <c r="M25" s="656" t="s">
        <v>725</v>
      </c>
      <c r="N25" s="656" t="s">
        <v>943</v>
      </c>
      <c r="O25" s="656" t="s">
        <v>734</v>
      </c>
      <c r="P25" s="656" t="s">
        <v>737</v>
      </c>
      <c r="Q25" s="656" t="s">
        <v>944</v>
      </c>
      <c r="R25" s="656" t="s">
        <v>740</v>
      </c>
      <c r="S25" s="656" t="s">
        <v>945</v>
      </c>
      <c r="T25" s="656" t="s">
        <v>744</v>
      </c>
      <c r="U25" s="656" t="s">
        <v>746</v>
      </c>
      <c r="V25" s="656" t="s">
        <v>946</v>
      </c>
    </row>
    <row r="26" spans="1:22" x14ac:dyDescent="0.2">
      <c r="B26" s="537" t="s">
        <v>1214</v>
      </c>
      <c r="C26" s="657">
        <f t="shared" ref="C26:V26" si="7">3388/(((2^(1/12))^(C4+21-49))*440)-0.82*C8</f>
        <v>6.2449201296806125</v>
      </c>
      <c r="D26" s="657">
        <f t="shared" si="7"/>
        <v>5.8599023974536006</v>
      </c>
      <c r="E26" s="657">
        <f t="shared" si="7"/>
        <v>5.4964940500775681</v>
      </c>
      <c r="F26" s="657">
        <f t="shared" si="7"/>
        <v>5.1534822459752236</v>
      </c>
      <c r="G26" s="657">
        <f t="shared" si="7"/>
        <v>4.9322222151364157</v>
      </c>
      <c r="H26" s="657">
        <f t="shared" si="7"/>
        <v>4.6266334385546317</v>
      </c>
      <c r="I26" s="657">
        <f t="shared" si="7"/>
        <v>4.3381960420952614</v>
      </c>
      <c r="J26" s="657">
        <f t="shared" si="7"/>
        <v>4.0659473927604752</v>
      </c>
      <c r="K26" s="657">
        <f t="shared" si="7"/>
        <v>3.8089788859910856</v>
      </c>
      <c r="L26" s="657">
        <f t="shared" si="7"/>
        <v>3.5664329132832853</v>
      </c>
      <c r="M26" s="657">
        <f t="shared" si="7"/>
        <v>3.3375000000000004</v>
      </c>
      <c r="N26" s="657">
        <f t="shared" si="7"/>
        <v>3.2239161038245197</v>
      </c>
      <c r="O26" s="657">
        <f t="shared" si="7"/>
        <v>3.0199600648403053</v>
      </c>
      <c r="P26" s="657">
        <f t="shared" si="7"/>
        <v>2.8274511987268003</v>
      </c>
      <c r="Q26" s="657">
        <f t="shared" si="7"/>
        <v>2.6457470250387836</v>
      </c>
      <c r="R26" s="657">
        <f t="shared" si="7"/>
        <v>2.4742411229876109</v>
      </c>
      <c r="S26" s="657">
        <f t="shared" si="7"/>
        <v>2.3123611075682073</v>
      </c>
      <c r="T26" s="657">
        <f t="shared" si="7"/>
        <v>2.1595667192773154</v>
      </c>
      <c r="U26" s="657">
        <f t="shared" si="7"/>
        <v>2.1178480210476303</v>
      </c>
      <c r="V26" s="657">
        <f t="shared" si="7"/>
        <v>1.9817236963802376</v>
      </c>
    </row>
    <row r="27" spans="1:22" ht="15" x14ac:dyDescent="0.25">
      <c r="A27" s="617" t="s">
        <v>1221</v>
      </c>
      <c r="B27" s="537"/>
    </row>
    <row r="28" spans="1:22" x14ac:dyDescent="0.2">
      <c r="A28" s="653" t="s">
        <v>1222</v>
      </c>
      <c r="B28" s="537" t="s">
        <v>785</v>
      </c>
      <c r="C28" s="658" t="s">
        <v>784</v>
      </c>
      <c r="D28" s="658" t="s">
        <v>792</v>
      </c>
      <c r="E28" s="658" t="s">
        <v>982</v>
      </c>
      <c r="F28" s="658" t="s">
        <v>205</v>
      </c>
      <c r="G28" s="658" t="s">
        <v>1178</v>
      </c>
      <c r="H28" s="658" t="s">
        <v>207</v>
      </c>
      <c r="I28" s="658" t="s">
        <v>1179</v>
      </c>
      <c r="J28" s="658" t="s">
        <v>209</v>
      </c>
      <c r="K28" s="658" t="s">
        <v>6</v>
      </c>
      <c r="L28" s="658" t="s">
        <v>276</v>
      </c>
      <c r="M28" s="658" t="s">
        <v>8</v>
      </c>
      <c r="N28" s="658" t="s">
        <v>937</v>
      </c>
      <c r="O28" s="658" t="s">
        <v>10</v>
      </c>
      <c r="P28" s="658" t="s">
        <v>240</v>
      </c>
      <c r="Q28" s="658" t="s">
        <v>275</v>
      </c>
      <c r="R28" s="658" t="s">
        <v>13</v>
      </c>
      <c r="S28" s="658" t="s">
        <v>938</v>
      </c>
      <c r="T28" s="658" t="s">
        <v>15</v>
      </c>
      <c r="U28" s="658" t="s">
        <v>939</v>
      </c>
      <c r="V28" s="658" t="s">
        <v>17</v>
      </c>
    </row>
    <row r="29" spans="1:22" x14ac:dyDescent="0.2">
      <c r="B29" s="537" t="s">
        <v>1214</v>
      </c>
      <c r="C29" s="659">
        <f t="shared" ref="C29:V29" si="8">3388/(((2^(1/12))^(C4+2-49))*440)-0.82*C8</f>
        <v>19.941533754218536</v>
      </c>
      <c r="D29" s="659">
        <f t="shared" si="8"/>
        <v>18.787784168381052</v>
      </c>
      <c r="E29" s="659">
        <f t="shared" si="8"/>
        <v>17.69878957104191</v>
      </c>
      <c r="F29" s="659">
        <f t="shared" si="8"/>
        <v>16.670915543964348</v>
      </c>
      <c r="G29" s="659">
        <f t="shared" si="8"/>
        <v>15.80323165313315</v>
      </c>
      <c r="H29" s="659">
        <f t="shared" si="8"/>
        <v>14.887500000000001</v>
      </c>
      <c r="I29" s="659">
        <f t="shared" si="8"/>
        <v>14.023164415298083</v>
      </c>
      <c r="J29" s="659">
        <f t="shared" si="8"/>
        <v>13.207340259361228</v>
      </c>
      <c r="K29" s="659">
        <f t="shared" si="8"/>
        <v>12.437304794907206</v>
      </c>
      <c r="L29" s="659">
        <f t="shared" si="8"/>
        <v>11.710488100155137</v>
      </c>
      <c r="M29" s="659">
        <f t="shared" si="8"/>
        <v>11.02446449195045</v>
      </c>
      <c r="N29" s="659">
        <f t="shared" si="8"/>
        <v>10.479444430272833</v>
      </c>
      <c r="O29" s="659">
        <f t="shared" si="8"/>
        <v>9.8682668771092654</v>
      </c>
      <c r="P29" s="659">
        <f t="shared" si="8"/>
        <v>9.2913920841905231</v>
      </c>
      <c r="Q29" s="659">
        <f t="shared" si="8"/>
        <v>8.7468947855209542</v>
      </c>
      <c r="R29" s="659">
        <f t="shared" si="8"/>
        <v>8.2329577719821732</v>
      </c>
      <c r="S29" s="659">
        <f t="shared" si="8"/>
        <v>7.7478658265665743</v>
      </c>
      <c r="T29" s="659">
        <f t="shared" si="8"/>
        <v>7.29</v>
      </c>
      <c r="U29" s="659">
        <f t="shared" si="8"/>
        <v>6.9603322076490395</v>
      </c>
      <c r="V29" s="659">
        <f t="shared" si="8"/>
        <v>6.5524201296806126</v>
      </c>
    </row>
    <row r="30" spans="1:22" x14ac:dyDescent="0.2">
      <c r="A30" s="653" t="s">
        <v>1223</v>
      </c>
      <c r="B30" s="537" t="s">
        <v>785</v>
      </c>
      <c r="C30" s="658" t="s">
        <v>205</v>
      </c>
      <c r="D30" s="658" t="s">
        <v>1178</v>
      </c>
      <c r="E30" s="658" t="s">
        <v>207</v>
      </c>
      <c r="F30" s="658" t="s">
        <v>1179</v>
      </c>
      <c r="G30" s="658" t="s">
        <v>209</v>
      </c>
      <c r="H30" s="658" t="s">
        <v>6</v>
      </c>
      <c r="I30" s="658" t="s">
        <v>276</v>
      </c>
      <c r="J30" s="658" t="s">
        <v>8</v>
      </c>
      <c r="K30" s="658" t="s">
        <v>937</v>
      </c>
      <c r="L30" s="658" t="s">
        <v>10</v>
      </c>
      <c r="M30" s="658" t="s">
        <v>240</v>
      </c>
      <c r="N30" s="658" t="s">
        <v>275</v>
      </c>
      <c r="O30" s="658" t="s">
        <v>13</v>
      </c>
      <c r="P30" s="658" t="s">
        <v>938</v>
      </c>
      <c r="Q30" s="658" t="s">
        <v>15</v>
      </c>
      <c r="R30" s="658" t="s">
        <v>939</v>
      </c>
      <c r="S30" s="658" t="s">
        <v>17</v>
      </c>
      <c r="T30" s="658" t="s">
        <v>18</v>
      </c>
      <c r="U30" s="658" t="s">
        <v>936</v>
      </c>
      <c r="V30" s="658" t="s">
        <v>20</v>
      </c>
    </row>
    <row r="31" spans="1:22" x14ac:dyDescent="0.2">
      <c r="B31" s="537" t="s">
        <v>1214</v>
      </c>
      <c r="C31" s="659">
        <f t="shared" ref="C31:V31" si="9">3388/(((2^(1/12))^(C4+5-49))*440)-0.82*C8</f>
        <v>16.670915543964348</v>
      </c>
      <c r="D31" s="659">
        <f t="shared" si="9"/>
        <v>15.700731653133149</v>
      </c>
      <c r="E31" s="659">
        <f t="shared" si="9"/>
        <v>14.785</v>
      </c>
      <c r="F31" s="659">
        <f t="shared" si="9"/>
        <v>13.920664415298083</v>
      </c>
      <c r="G31" s="659">
        <f t="shared" si="9"/>
        <v>13.207340259361228</v>
      </c>
      <c r="H31" s="659">
        <f t="shared" si="9"/>
        <v>12.437304794907206</v>
      </c>
      <c r="I31" s="659">
        <f t="shared" si="9"/>
        <v>11.710488100155137</v>
      </c>
      <c r="J31" s="659">
        <f t="shared" si="9"/>
        <v>11.02446449195045</v>
      </c>
      <c r="K31" s="659">
        <f t="shared" si="9"/>
        <v>10.376944430272834</v>
      </c>
      <c r="L31" s="659">
        <f t="shared" si="9"/>
        <v>9.7657668771092663</v>
      </c>
      <c r="M31" s="659">
        <f t="shared" si="9"/>
        <v>9.1888920841905239</v>
      </c>
      <c r="N31" s="659">
        <f t="shared" si="9"/>
        <v>8.7468947855209542</v>
      </c>
      <c r="O31" s="659">
        <f t="shared" si="9"/>
        <v>8.2329577719821732</v>
      </c>
      <c r="P31" s="659">
        <f t="shared" si="9"/>
        <v>7.7478658265665743</v>
      </c>
      <c r="Q31" s="659">
        <f t="shared" si="9"/>
        <v>7.29</v>
      </c>
      <c r="R31" s="659">
        <f t="shared" si="9"/>
        <v>6.8578322076490394</v>
      </c>
      <c r="S31" s="659">
        <f t="shared" si="9"/>
        <v>6.4499201296806126</v>
      </c>
      <c r="T31" s="659">
        <f t="shared" si="9"/>
        <v>6.0649023974536007</v>
      </c>
      <c r="U31" s="659">
        <f t="shared" si="9"/>
        <v>5.8039940500775682</v>
      </c>
      <c r="V31" s="659">
        <f t="shared" si="9"/>
        <v>5.4609822459752237</v>
      </c>
    </row>
    <row r="32" spans="1:22" x14ac:dyDescent="0.2">
      <c r="A32" s="653" t="s">
        <v>1224</v>
      </c>
      <c r="B32" s="537" t="s">
        <v>785</v>
      </c>
      <c r="C32" s="658" t="s">
        <v>209</v>
      </c>
      <c r="D32" s="658" t="s">
        <v>6</v>
      </c>
      <c r="E32" s="658" t="s">
        <v>276</v>
      </c>
      <c r="F32" s="658" t="s">
        <v>8</v>
      </c>
      <c r="G32" s="658" t="s">
        <v>937</v>
      </c>
      <c r="H32" s="658" t="s">
        <v>10</v>
      </c>
      <c r="I32" s="658" t="s">
        <v>240</v>
      </c>
      <c r="J32" s="658" t="s">
        <v>275</v>
      </c>
      <c r="K32" s="658" t="s">
        <v>13</v>
      </c>
      <c r="L32" s="658" t="s">
        <v>938</v>
      </c>
      <c r="M32" s="658" t="s">
        <v>15</v>
      </c>
      <c r="N32" s="658" t="s">
        <v>939</v>
      </c>
      <c r="O32" s="658" t="s">
        <v>17</v>
      </c>
      <c r="P32" s="658" t="s">
        <v>18</v>
      </c>
      <c r="Q32" s="658" t="s">
        <v>936</v>
      </c>
      <c r="R32" s="658" t="s">
        <v>20</v>
      </c>
      <c r="S32" s="658" t="s">
        <v>940</v>
      </c>
      <c r="T32" s="658" t="s">
        <v>210</v>
      </c>
      <c r="U32" s="658" t="s">
        <v>211</v>
      </c>
      <c r="V32" s="658" t="s">
        <v>941</v>
      </c>
    </row>
    <row r="33" spans="1:22" x14ac:dyDescent="0.2">
      <c r="B33" s="537" t="s">
        <v>1214</v>
      </c>
      <c r="C33" s="659">
        <f t="shared" ref="C33:V33" si="10">3388/(((2^(1/12))^(C4+9-49))*440)-0.82*C8</f>
        <v>13.104840259361227</v>
      </c>
      <c r="D33" s="659">
        <f t="shared" si="10"/>
        <v>12.334804794907205</v>
      </c>
      <c r="E33" s="659">
        <f t="shared" si="10"/>
        <v>11.607988100155136</v>
      </c>
      <c r="F33" s="659">
        <f t="shared" si="10"/>
        <v>10.921964491950449</v>
      </c>
      <c r="G33" s="659">
        <f t="shared" si="10"/>
        <v>10.376944430272834</v>
      </c>
      <c r="H33" s="659">
        <f t="shared" si="10"/>
        <v>9.7657668771092663</v>
      </c>
      <c r="I33" s="659">
        <f t="shared" si="10"/>
        <v>9.1888920841905239</v>
      </c>
      <c r="J33" s="659">
        <f t="shared" si="10"/>
        <v>8.6443947855209551</v>
      </c>
      <c r="K33" s="659">
        <f t="shared" si="10"/>
        <v>8.130457771982174</v>
      </c>
      <c r="L33" s="659">
        <f t="shared" si="10"/>
        <v>7.6453658265665743</v>
      </c>
      <c r="M33" s="659">
        <f t="shared" si="10"/>
        <v>7.1875</v>
      </c>
      <c r="N33" s="659">
        <f t="shared" si="10"/>
        <v>6.8578322076490394</v>
      </c>
      <c r="O33" s="659">
        <f t="shared" si="10"/>
        <v>6.4499201296806126</v>
      </c>
      <c r="P33" s="659">
        <f t="shared" si="10"/>
        <v>6.0649023974536007</v>
      </c>
      <c r="Q33" s="659">
        <f t="shared" si="10"/>
        <v>5.7014940500775682</v>
      </c>
      <c r="R33" s="659">
        <f t="shared" si="10"/>
        <v>5.3584822459752237</v>
      </c>
      <c r="S33" s="659">
        <f t="shared" si="10"/>
        <v>5.0347222151364157</v>
      </c>
      <c r="T33" s="659">
        <f t="shared" si="10"/>
        <v>4.7291334385546318</v>
      </c>
      <c r="U33" s="659">
        <f t="shared" si="10"/>
        <v>4.5431960420952615</v>
      </c>
      <c r="V33" s="659">
        <f t="shared" si="10"/>
        <v>4.2709473927604753</v>
      </c>
    </row>
    <row r="34" spans="1:22" x14ac:dyDescent="0.2">
      <c r="A34" s="653" t="s">
        <v>1225</v>
      </c>
      <c r="B34" s="537" t="s">
        <v>785</v>
      </c>
      <c r="C34" s="658" t="s">
        <v>8</v>
      </c>
      <c r="D34" s="658" t="s">
        <v>937</v>
      </c>
      <c r="E34" s="658" t="s">
        <v>10</v>
      </c>
      <c r="F34" s="658" t="s">
        <v>240</v>
      </c>
      <c r="G34" s="658" t="s">
        <v>275</v>
      </c>
      <c r="H34" s="658" t="s">
        <v>13</v>
      </c>
      <c r="I34" s="658" t="s">
        <v>938</v>
      </c>
      <c r="J34" s="658" t="s">
        <v>15</v>
      </c>
      <c r="K34" s="658" t="s">
        <v>939</v>
      </c>
      <c r="L34" s="658" t="s">
        <v>17</v>
      </c>
      <c r="M34" s="658" t="s">
        <v>18</v>
      </c>
      <c r="N34" s="658" t="s">
        <v>936</v>
      </c>
      <c r="O34" s="658" t="s">
        <v>20</v>
      </c>
      <c r="P34" s="658" t="s">
        <v>940</v>
      </c>
      <c r="Q34" s="658" t="s">
        <v>210</v>
      </c>
      <c r="R34" s="658" t="s">
        <v>211</v>
      </c>
      <c r="S34" s="658" t="s">
        <v>941</v>
      </c>
      <c r="T34" s="658" t="s">
        <v>212</v>
      </c>
      <c r="U34" s="658" t="s">
        <v>942</v>
      </c>
      <c r="V34" s="658" t="s">
        <v>725</v>
      </c>
    </row>
    <row r="35" spans="1:22" x14ac:dyDescent="0.2">
      <c r="B35" s="537" t="s">
        <v>1214</v>
      </c>
      <c r="C35" s="659">
        <f t="shared" ref="C35:V35" si="11">3388/(((2^(1/12))^(C4+12-49))*440)-0.82*C8</f>
        <v>10.921964491950449</v>
      </c>
      <c r="D35" s="659">
        <f t="shared" si="11"/>
        <v>10.274444430272833</v>
      </c>
      <c r="E35" s="659">
        <f t="shared" si="11"/>
        <v>9.6632668771092654</v>
      </c>
      <c r="F35" s="659">
        <f t="shared" si="11"/>
        <v>9.086392084190523</v>
      </c>
      <c r="G35" s="659">
        <f t="shared" si="11"/>
        <v>8.6443947855209551</v>
      </c>
      <c r="H35" s="659">
        <f t="shared" si="11"/>
        <v>8.130457771982174</v>
      </c>
      <c r="I35" s="659">
        <f t="shared" si="11"/>
        <v>7.6453658265665743</v>
      </c>
      <c r="J35" s="659">
        <f t="shared" si="11"/>
        <v>7.1875</v>
      </c>
      <c r="K35" s="659">
        <f t="shared" si="11"/>
        <v>6.7553322076490394</v>
      </c>
      <c r="L35" s="659">
        <f t="shared" si="11"/>
        <v>6.3474201296806125</v>
      </c>
      <c r="M35" s="659">
        <f t="shared" si="11"/>
        <v>5.9624023974536007</v>
      </c>
      <c r="N35" s="659">
        <f t="shared" si="11"/>
        <v>5.7014940500775682</v>
      </c>
      <c r="O35" s="659">
        <f t="shared" si="11"/>
        <v>5.3584822459752237</v>
      </c>
      <c r="P35" s="659">
        <f t="shared" si="11"/>
        <v>5.0347222151364157</v>
      </c>
      <c r="Q35" s="659">
        <f t="shared" si="11"/>
        <v>4.7291334385546318</v>
      </c>
      <c r="R35" s="659">
        <f t="shared" si="11"/>
        <v>4.4406960420952615</v>
      </c>
      <c r="S35" s="659">
        <f t="shared" si="11"/>
        <v>4.1684473927604753</v>
      </c>
      <c r="T35" s="659">
        <f t="shared" si="11"/>
        <v>3.9114788859910856</v>
      </c>
      <c r="U35" s="659">
        <f t="shared" si="11"/>
        <v>3.7714329132832853</v>
      </c>
      <c r="V35" s="659">
        <f t="shared" si="11"/>
        <v>3.5425</v>
      </c>
    </row>
    <row r="36" spans="1:22" x14ac:dyDescent="0.2">
      <c r="A36" s="653" t="s">
        <v>1226</v>
      </c>
      <c r="B36" s="537" t="s">
        <v>785</v>
      </c>
      <c r="C36" s="658" t="s">
        <v>275</v>
      </c>
      <c r="D36" s="658" t="s">
        <v>13</v>
      </c>
      <c r="E36" s="658" t="s">
        <v>938</v>
      </c>
      <c r="F36" s="658" t="s">
        <v>15</v>
      </c>
      <c r="G36" s="658" t="s">
        <v>939</v>
      </c>
      <c r="H36" s="658" t="s">
        <v>17</v>
      </c>
      <c r="I36" s="658" t="s">
        <v>18</v>
      </c>
      <c r="J36" s="658" t="s">
        <v>936</v>
      </c>
      <c r="K36" s="658" t="s">
        <v>20</v>
      </c>
      <c r="L36" s="658" t="s">
        <v>940</v>
      </c>
      <c r="M36" s="658" t="s">
        <v>210</v>
      </c>
      <c r="N36" s="658" t="s">
        <v>211</v>
      </c>
      <c r="O36" s="658" t="s">
        <v>941</v>
      </c>
      <c r="P36" s="658" t="s">
        <v>212</v>
      </c>
      <c r="Q36" s="658" t="s">
        <v>942</v>
      </c>
      <c r="R36" s="658" t="s">
        <v>725</v>
      </c>
      <c r="S36" s="658" t="s">
        <v>943</v>
      </c>
      <c r="T36" s="658" t="s">
        <v>734</v>
      </c>
      <c r="U36" s="658" t="s">
        <v>737</v>
      </c>
      <c r="V36" s="658" t="s">
        <v>944</v>
      </c>
    </row>
    <row r="37" spans="1:22" x14ac:dyDescent="0.2">
      <c r="B37" s="537" t="s">
        <v>1214</v>
      </c>
      <c r="C37" s="659">
        <f t="shared" ref="C37:V37" si="12">3388/(((2^(1/12))^(C4+16-49))*440)-0.82*C8</f>
        <v>8.5418947855209542</v>
      </c>
      <c r="D37" s="659">
        <f t="shared" si="12"/>
        <v>8.0279577719821731</v>
      </c>
      <c r="E37" s="659">
        <f t="shared" si="12"/>
        <v>7.5428658265665742</v>
      </c>
      <c r="F37" s="659">
        <f t="shared" si="12"/>
        <v>7.085</v>
      </c>
      <c r="G37" s="659">
        <f t="shared" si="12"/>
        <v>6.7553322076490394</v>
      </c>
      <c r="H37" s="659">
        <f t="shared" si="12"/>
        <v>6.3474201296806125</v>
      </c>
      <c r="I37" s="659">
        <f t="shared" si="12"/>
        <v>5.9624023974536007</v>
      </c>
      <c r="J37" s="659">
        <f t="shared" si="12"/>
        <v>5.5989940500775681</v>
      </c>
      <c r="K37" s="659">
        <f t="shared" si="12"/>
        <v>5.2559822459752237</v>
      </c>
      <c r="L37" s="659">
        <f t="shared" si="12"/>
        <v>4.9322222151364157</v>
      </c>
      <c r="M37" s="659">
        <f t="shared" si="12"/>
        <v>4.6266334385546317</v>
      </c>
      <c r="N37" s="659">
        <f t="shared" si="12"/>
        <v>4.4406960420952615</v>
      </c>
      <c r="O37" s="659">
        <f t="shared" si="12"/>
        <v>4.1684473927604753</v>
      </c>
      <c r="P37" s="659">
        <f t="shared" si="12"/>
        <v>3.9114788859910856</v>
      </c>
      <c r="Q37" s="659">
        <f t="shared" si="12"/>
        <v>3.6689329132832853</v>
      </c>
      <c r="R37" s="659">
        <f t="shared" si="12"/>
        <v>3.44</v>
      </c>
      <c r="S37" s="659">
        <f t="shared" si="12"/>
        <v>3.2239161038245197</v>
      </c>
      <c r="T37" s="659">
        <f t="shared" si="12"/>
        <v>3.0199600648403053</v>
      </c>
      <c r="U37" s="659">
        <f t="shared" si="12"/>
        <v>2.9299511987268003</v>
      </c>
      <c r="V37" s="659">
        <f t="shared" si="12"/>
        <v>2.7482470250387836</v>
      </c>
    </row>
    <row r="38" spans="1:22" x14ac:dyDescent="0.2">
      <c r="A38" s="653" t="s">
        <v>1227</v>
      </c>
      <c r="B38" s="537" t="s">
        <v>785</v>
      </c>
      <c r="C38" s="658" t="s">
        <v>15</v>
      </c>
      <c r="D38" s="658" t="s">
        <v>939</v>
      </c>
      <c r="E38" s="658" t="s">
        <v>17</v>
      </c>
      <c r="F38" s="658" t="s">
        <v>18</v>
      </c>
      <c r="G38" s="658" t="s">
        <v>936</v>
      </c>
      <c r="H38" s="658" t="s">
        <v>20</v>
      </c>
      <c r="I38" s="658" t="s">
        <v>940</v>
      </c>
      <c r="J38" s="658" t="s">
        <v>210</v>
      </c>
      <c r="K38" s="658" t="s">
        <v>211</v>
      </c>
      <c r="L38" s="658" t="s">
        <v>941</v>
      </c>
      <c r="M38" s="658" t="s">
        <v>212</v>
      </c>
      <c r="N38" s="658" t="s">
        <v>942</v>
      </c>
      <c r="O38" s="658" t="s">
        <v>725</v>
      </c>
      <c r="P38" s="658" t="s">
        <v>943</v>
      </c>
      <c r="Q38" s="658" t="s">
        <v>734</v>
      </c>
      <c r="R38" s="658" t="s">
        <v>737</v>
      </c>
      <c r="S38" s="658" t="s">
        <v>944</v>
      </c>
      <c r="T38" s="658" t="s">
        <v>740</v>
      </c>
      <c r="U38" s="658" t="s">
        <v>945</v>
      </c>
      <c r="V38" s="658" t="s">
        <v>744</v>
      </c>
    </row>
    <row r="39" spans="1:22" x14ac:dyDescent="0.2">
      <c r="B39" s="537" t="s">
        <v>1214</v>
      </c>
      <c r="C39" s="659">
        <f t="shared" ref="C39:V39" si="13">3388/(((2^(1/12))^(C4+19-49))*440)-0.82*C8</f>
        <v>7.085</v>
      </c>
      <c r="D39" s="659">
        <f t="shared" si="13"/>
        <v>6.6528322076490394</v>
      </c>
      <c r="E39" s="659">
        <f t="shared" si="13"/>
        <v>6.2449201296806125</v>
      </c>
      <c r="F39" s="659">
        <f t="shared" si="13"/>
        <v>5.8599023974536006</v>
      </c>
      <c r="G39" s="659">
        <f t="shared" si="13"/>
        <v>5.5989940500775681</v>
      </c>
      <c r="H39" s="659">
        <f t="shared" si="13"/>
        <v>5.2559822459752237</v>
      </c>
      <c r="I39" s="659">
        <f t="shared" si="13"/>
        <v>4.9322222151364157</v>
      </c>
      <c r="J39" s="659">
        <f t="shared" si="13"/>
        <v>4.6266334385546317</v>
      </c>
      <c r="K39" s="659">
        <f t="shared" si="13"/>
        <v>4.3381960420952614</v>
      </c>
      <c r="L39" s="659">
        <f t="shared" si="13"/>
        <v>4.0659473927604752</v>
      </c>
      <c r="M39" s="659">
        <f t="shared" si="13"/>
        <v>3.8089788859910856</v>
      </c>
      <c r="N39" s="659">
        <f t="shared" si="13"/>
        <v>3.6689329132832853</v>
      </c>
      <c r="O39" s="659">
        <f t="shared" si="13"/>
        <v>3.44</v>
      </c>
      <c r="P39" s="659">
        <f t="shared" si="13"/>
        <v>3.2239161038245197</v>
      </c>
      <c r="Q39" s="659">
        <f t="shared" si="13"/>
        <v>3.0199600648403053</v>
      </c>
      <c r="R39" s="659">
        <f t="shared" si="13"/>
        <v>2.8274511987268003</v>
      </c>
      <c r="S39" s="659">
        <f t="shared" si="13"/>
        <v>2.6457470250387836</v>
      </c>
      <c r="T39" s="659">
        <f t="shared" si="13"/>
        <v>2.4742411229876109</v>
      </c>
      <c r="U39" s="659">
        <f t="shared" si="13"/>
        <v>2.4148611075682074</v>
      </c>
      <c r="V39" s="659">
        <f t="shared" si="13"/>
        <v>2.2620667192773154</v>
      </c>
    </row>
    <row r="40" spans="1:22" ht="15" x14ac:dyDescent="0.25">
      <c r="A40" s="603" t="s">
        <v>1228</v>
      </c>
    </row>
    <row r="41" spans="1:22" x14ac:dyDescent="0.2">
      <c r="A41" t="s">
        <v>1229</v>
      </c>
      <c r="C41" s="482">
        <f t="shared" ref="C41:V41" si="14">C14</f>
        <v>22.458928983900904</v>
      </c>
      <c r="D41" s="482">
        <f t="shared" si="14"/>
        <v>21.163888860545672</v>
      </c>
      <c r="E41" s="482">
        <f t="shared" si="14"/>
        <v>19.941533754218536</v>
      </c>
      <c r="F41" s="482">
        <f t="shared" si="14"/>
        <v>18.787784168381052</v>
      </c>
      <c r="G41" s="482">
        <f t="shared" si="14"/>
        <v>17.801289571041909</v>
      </c>
      <c r="H41" s="482">
        <f t="shared" si="14"/>
        <v>16.773415543964347</v>
      </c>
      <c r="I41" s="482">
        <f t="shared" si="14"/>
        <v>15.80323165313315</v>
      </c>
      <c r="J41" s="482">
        <f t="shared" si="14"/>
        <v>14.887500000000001</v>
      </c>
      <c r="K41" s="482">
        <f t="shared" si="14"/>
        <v>14.023164415298083</v>
      </c>
      <c r="L41" s="482">
        <f t="shared" si="14"/>
        <v>13.207340259361228</v>
      </c>
      <c r="M41" s="482">
        <f t="shared" si="14"/>
        <v>12.437304794907206</v>
      </c>
      <c r="N41" s="482">
        <f t="shared" si="14"/>
        <v>11.812988100155136</v>
      </c>
      <c r="O41" s="482">
        <f t="shared" si="14"/>
        <v>11.126964491950449</v>
      </c>
      <c r="P41" s="482">
        <f t="shared" si="14"/>
        <v>10.479444430272833</v>
      </c>
      <c r="Q41" s="482">
        <f t="shared" si="14"/>
        <v>9.8682668771092654</v>
      </c>
      <c r="R41" s="482">
        <f t="shared" si="14"/>
        <v>9.2913920841905231</v>
      </c>
      <c r="S41" s="482">
        <f t="shared" si="14"/>
        <v>8.7468947855209542</v>
      </c>
      <c r="T41" s="482">
        <f t="shared" si="14"/>
        <v>8.2329577719821732</v>
      </c>
      <c r="U41" s="482">
        <f t="shared" si="14"/>
        <v>7.8503658265665743</v>
      </c>
      <c r="V41" s="482">
        <f t="shared" si="14"/>
        <v>7.3925000000000001</v>
      </c>
    </row>
    <row r="42" spans="1:22" x14ac:dyDescent="0.2">
      <c r="A42" t="s">
        <v>1230</v>
      </c>
      <c r="C42" s="482">
        <f t="shared" ref="C42:V42" si="15">C26</f>
        <v>6.2449201296806125</v>
      </c>
      <c r="D42" s="482">
        <f t="shared" si="15"/>
        <v>5.8599023974536006</v>
      </c>
      <c r="E42" s="482">
        <f t="shared" si="15"/>
        <v>5.4964940500775681</v>
      </c>
      <c r="F42" s="482">
        <f t="shared" si="15"/>
        <v>5.1534822459752236</v>
      </c>
      <c r="G42" s="482">
        <f t="shared" si="15"/>
        <v>4.9322222151364157</v>
      </c>
      <c r="H42" s="482">
        <f t="shared" si="15"/>
        <v>4.6266334385546317</v>
      </c>
      <c r="I42" s="482">
        <f t="shared" si="15"/>
        <v>4.3381960420952614</v>
      </c>
      <c r="J42" s="482">
        <f t="shared" si="15"/>
        <v>4.0659473927604752</v>
      </c>
      <c r="K42" s="482">
        <f t="shared" si="15"/>
        <v>3.8089788859910856</v>
      </c>
      <c r="L42" s="482">
        <f t="shared" si="15"/>
        <v>3.5664329132832853</v>
      </c>
      <c r="M42" s="482">
        <f t="shared" si="15"/>
        <v>3.3375000000000004</v>
      </c>
      <c r="N42" s="482">
        <f t="shared" si="15"/>
        <v>3.2239161038245197</v>
      </c>
      <c r="O42" s="482">
        <f t="shared" si="15"/>
        <v>3.0199600648403053</v>
      </c>
      <c r="P42" s="482">
        <f t="shared" si="15"/>
        <v>2.8274511987268003</v>
      </c>
      <c r="Q42" s="482">
        <f t="shared" si="15"/>
        <v>2.6457470250387836</v>
      </c>
      <c r="R42" s="482">
        <f t="shared" si="15"/>
        <v>2.4742411229876109</v>
      </c>
      <c r="S42" s="482">
        <f t="shared" si="15"/>
        <v>2.3123611075682073</v>
      </c>
      <c r="T42" s="482">
        <f t="shared" si="15"/>
        <v>2.1595667192773154</v>
      </c>
      <c r="U42" s="482">
        <f t="shared" si="15"/>
        <v>2.1178480210476303</v>
      </c>
      <c r="V42" s="482">
        <f t="shared" si="15"/>
        <v>1.9817236963802376</v>
      </c>
    </row>
    <row r="43" spans="1:22" x14ac:dyDescent="0.2">
      <c r="A43" t="s">
        <v>1231</v>
      </c>
      <c r="C43" s="482">
        <f t="shared" ref="C43:V43" si="16">C8+C9+0.0625</f>
        <v>0.9375</v>
      </c>
      <c r="D43" s="482">
        <f t="shared" si="16"/>
        <v>0.9375</v>
      </c>
      <c r="E43" s="482">
        <f t="shared" si="16"/>
        <v>0.9375</v>
      </c>
      <c r="F43" s="482">
        <f t="shared" si="16"/>
        <v>0.9375</v>
      </c>
      <c r="G43" s="482">
        <f t="shared" si="16"/>
        <v>0.78549999999999998</v>
      </c>
      <c r="H43" s="482">
        <f t="shared" si="16"/>
        <v>0.78549999999999998</v>
      </c>
      <c r="I43" s="482">
        <f t="shared" si="16"/>
        <v>0.78549999999999998</v>
      </c>
      <c r="J43" s="482">
        <f t="shared" si="16"/>
        <v>0.78549999999999998</v>
      </c>
      <c r="K43" s="482">
        <f t="shared" si="16"/>
        <v>0.78549999999999998</v>
      </c>
      <c r="L43" s="482">
        <f t="shared" si="16"/>
        <v>0.78549999999999998</v>
      </c>
      <c r="M43" s="482">
        <f t="shared" si="16"/>
        <v>0.78549999999999998</v>
      </c>
      <c r="N43" s="482">
        <f t="shared" si="16"/>
        <v>0.64149999999999996</v>
      </c>
      <c r="O43" s="482">
        <f t="shared" si="16"/>
        <v>0.64149999999999996</v>
      </c>
      <c r="P43" s="482">
        <f t="shared" si="16"/>
        <v>0.64149999999999996</v>
      </c>
      <c r="Q43" s="482">
        <f t="shared" si="16"/>
        <v>0.64149999999999996</v>
      </c>
      <c r="R43" s="482">
        <f t="shared" si="16"/>
        <v>0.64149999999999996</v>
      </c>
      <c r="S43" s="482">
        <f t="shared" si="16"/>
        <v>0.64149999999999996</v>
      </c>
      <c r="T43" s="482">
        <f t="shared" si="16"/>
        <v>0.64149999999999996</v>
      </c>
      <c r="U43" s="482">
        <f t="shared" si="16"/>
        <v>0.4965</v>
      </c>
      <c r="V43" s="482">
        <f t="shared" si="16"/>
        <v>0.4965</v>
      </c>
    </row>
    <row r="44" spans="1:22" x14ac:dyDescent="0.2">
      <c r="A44" t="s">
        <v>1232</v>
      </c>
      <c r="C44" s="482">
        <f t="shared" ref="C44:V44" si="17">13*C43</f>
        <v>12.1875</v>
      </c>
      <c r="D44" s="482">
        <f t="shared" si="17"/>
        <v>12.1875</v>
      </c>
      <c r="E44" s="482">
        <f t="shared" si="17"/>
        <v>12.1875</v>
      </c>
      <c r="F44" s="482">
        <f t="shared" si="17"/>
        <v>12.1875</v>
      </c>
      <c r="G44" s="482">
        <f t="shared" si="17"/>
        <v>10.211499999999999</v>
      </c>
      <c r="H44" s="482">
        <f t="shared" si="17"/>
        <v>10.211499999999999</v>
      </c>
      <c r="I44" s="482">
        <f t="shared" si="17"/>
        <v>10.211499999999999</v>
      </c>
      <c r="J44" s="482">
        <f t="shared" si="17"/>
        <v>10.211499999999999</v>
      </c>
      <c r="K44" s="482">
        <f t="shared" si="17"/>
        <v>10.211499999999999</v>
      </c>
      <c r="L44" s="482">
        <f t="shared" si="17"/>
        <v>10.211499999999999</v>
      </c>
      <c r="M44" s="482">
        <f t="shared" si="17"/>
        <v>10.211499999999999</v>
      </c>
      <c r="N44" s="482">
        <f t="shared" si="17"/>
        <v>8.3394999999999992</v>
      </c>
      <c r="O44" s="482">
        <f t="shared" si="17"/>
        <v>8.3394999999999992</v>
      </c>
      <c r="P44" s="482">
        <f t="shared" si="17"/>
        <v>8.3394999999999992</v>
      </c>
      <c r="Q44" s="482">
        <f t="shared" si="17"/>
        <v>8.3394999999999992</v>
      </c>
      <c r="R44" s="482">
        <f t="shared" si="17"/>
        <v>8.3394999999999992</v>
      </c>
      <c r="S44" s="482">
        <f t="shared" si="17"/>
        <v>8.3394999999999992</v>
      </c>
      <c r="T44" s="482">
        <f t="shared" si="17"/>
        <v>8.3394999999999992</v>
      </c>
      <c r="U44" s="482">
        <f t="shared" si="17"/>
        <v>6.4545000000000003</v>
      </c>
      <c r="V44" s="482">
        <f t="shared" si="17"/>
        <v>6.4545000000000003</v>
      </c>
    </row>
    <row r="45" spans="1:22" x14ac:dyDescent="0.2">
      <c r="A45" t="s">
        <v>1233</v>
      </c>
      <c r="C45" s="655" t="s">
        <v>1235</v>
      </c>
      <c r="D45" s="655" t="s">
        <v>1235</v>
      </c>
      <c r="E45" s="655" t="s">
        <v>1235</v>
      </c>
      <c r="F45" s="655" t="s">
        <v>1235</v>
      </c>
      <c r="G45" s="655" t="s">
        <v>1235</v>
      </c>
      <c r="H45" s="655" t="s">
        <v>1235</v>
      </c>
      <c r="I45" s="655" t="s">
        <v>1235</v>
      </c>
      <c r="J45" s="655" t="s">
        <v>1235</v>
      </c>
      <c r="K45" s="655" t="s">
        <v>1235</v>
      </c>
      <c r="L45" s="655" t="s">
        <v>1235</v>
      </c>
      <c r="M45" s="655" t="s">
        <v>1235</v>
      </c>
      <c r="N45" s="655" t="s">
        <v>1235</v>
      </c>
      <c r="O45" s="655" t="s">
        <v>1235</v>
      </c>
      <c r="P45" s="655" t="s">
        <v>1235</v>
      </c>
      <c r="Q45" s="655" t="s">
        <v>1235</v>
      </c>
      <c r="R45" s="655" t="s">
        <v>1235</v>
      </c>
      <c r="S45" s="655" t="s">
        <v>1235</v>
      </c>
      <c r="T45" s="655" t="s">
        <v>1235</v>
      </c>
      <c r="U45" s="655" t="s">
        <v>1235</v>
      </c>
      <c r="V45" s="655" t="s">
        <v>1235</v>
      </c>
    </row>
    <row r="48" spans="1:22" ht="18" x14ac:dyDescent="0.25">
      <c r="A48" s="833" t="s">
        <v>6752</v>
      </c>
    </row>
    <row r="49" spans="1:1" x14ac:dyDescent="0.2">
      <c r="A49" s="734" t="s">
        <v>6753</v>
      </c>
    </row>
    <row r="51" spans="1:1" x14ac:dyDescent="0.2">
      <c r="A51" s="609" t="s">
        <v>6355</v>
      </c>
    </row>
    <row r="52" spans="1:1" x14ac:dyDescent="0.2">
      <c r="A52" t="s">
        <v>6754</v>
      </c>
    </row>
    <row r="53" spans="1:1" x14ac:dyDescent="0.2">
      <c r="A53" s="759" t="s">
        <v>6755</v>
      </c>
    </row>
    <row r="54" spans="1:1" x14ac:dyDescent="0.2">
      <c r="A54" t="s">
        <v>6756</v>
      </c>
    </row>
    <row r="56" spans="1:1" x14ac:dyDescent="0.2">
      <c r="A56" s="609" t="s">
        <v>6359</v>
      </c>
    </row>
    <row r="57" spans="1:1" x14ac:dyDescent="0.2">
      <c r="A57" t="s">
        <v>6757</v>
      </c>
    </row>
    <row r="58" spans="1:1" x14ac:dyDescent="0.2">
      <c r="A58" t="s">
        <v>6758</v>
      </c>
    </row>
    <row r="59" spans="1:1" x14ac:dyDescent="0.2">
      <c r="A59" t="s">
        <v>6759</v>
      </c>
    </row>
    <row r="60" spans="1:1" x14ac:dyDescent="0.2">
      <c r="A60" t="s">
        <v>6760</v>
      </c>
    </row>
    <row r="62" spans="1:1" x14ac:dyDescent="0.2">
      <c r="A62" s="609" t="s">
        <v>6654</v>
      </c>
    </row>
    <row r="63" spans="1:1" x14ac:dyDescent="0.2">
      <c r="A63" t="s">
        <v>6761</v>
      </c>
    </row>
    <row r="64" spans="1:1" x14ac:dyDescent="0.2">
      <c r="A64" t="s">
        <v>6762</v>
      </c>
    </row>
    <row r="65" spans="1:1" x14ac:dyDescent="0.2">
      <c r="A65" t="s">
        <v>6763</v>
      </c>
    </row>
    <row r="67" spans="1:1" x14ac:dyDescent="0.2">
      <c r="A67" s="609" t="s">
        <v>6658</v>
      </c>
    </row>
    <row r="68" spans="1:1" x14ac:dyDescent="0.2">
      <c r="A68" t="s">
        <v>6764</v>
      </c>
    </row>
    <row r="69" spans="1:1" x14ac:dyDescent="0.2">
      <c r="A69" t="s">
        <v>6765</v>
      </c>
    </row>
    <row r="71" spans="1:1" x14ac:dyDescent="0.2">
      <c r="A71" s="609" t="s">
        <v>6661</v>
      </c>
    </row>
    <row r="72" spans="1:1" x14ac:dyDescent="0.2">
      <c r="A72" t="s">
        <v>6766</v>
      </c>
    </row>
    <row r="73" spans="1:1" x14ac:dyDescent="0.2">
      <c r="A73" t="s">
        <v>6767</v>
      </c>
    </row>
    <row r="74" spans="1:1" x14ac:dyDescent="0.2">
      <c r="A74" t="s">
        <v>6768</v>
      </c>
    </row>
    <row r="75" spans="1:1" x14ac:dyDescent="0.2">
      <c r="A75" t="s">
        <v>6769</v>
      </c>
    </row>
    <row r="77" spans="1:1" x14ac:dyDescent="0.2">
      <c r="A77" s="609" t="s">
        <v>6682</v>
      </c>
    </row>
    <row r="78" spans="1:1" x14ac:dyDescent="0.2">
      <c r="A78" t="s">
        <v>6770</v>
      </c>
    </row>
    <row r="81" spans="1:1" ht="18" x14ac:dyDescent="0.25">
      <c r="A81" s="838" t="s">
        <v>7240</v>
      </c>
    </row>
    <row r="82" spans="1:1" x14ac:dyDescent="0.2">
      <c r="A82" s="734" t="s">
        <v>7131</v>
      </c>
    </row>
    <row r="84" spans="1:1" x14ac:dyDescent="0.2">
      <c r="A84" s="839" t="s">
        <v>7132</v>
      </c>
    </row>
    <row r="85" spans="1:1" x14ac:dyDescent="0.2">
      <c r="A85" t="s">
        <v>7241</v>
      </c>
    </row>
    <row r="86" spans="1:1" x14ac:dyDescent="0.2">
      <c r="A86" t="s">
        <v>7242</v>
      </c>
    </row>
    <row r="87" spans="1:1" x14ac:dyDescent="0.2">
      <c r="A87" t="s">
        <v>7243</v>
      </c>
    </row>
    <row r="88" spans="1:1" x14ac:dyDescent="0.2">
      <c r="A88" t="s">
        <v>7244</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98CD8-6BA5-4B8B-AA86-439A009F3DD5}">
  <dimension ref="A1:W92"/>
  <sheetViews>
    <sheetView workbookViewId="0">
      <selection activeCell="U30" sqref="U30"/>
    </sheetView>
  </sheetViews>
  <sheetFormatPr defaultRowHeight="12.75" x14ac:dyDescent="0.2"/>
  <cols>
    <col min="1" max="1" width="137.140625" customWidth="1"/>
    <col min="7" max="7" width="15.28515625" customWidth="1"/>
    <col min="8" max="8" width="3.85546875" customWidth="1"/>
    <col min="9" max="9" width="7.7109375" customWidth="1"/>
    <col min="10" max="10" width="10.7109375" bestFit="1" customWidth="1"/>
    <col min="11" max="11" width="12.42578125" bestFit="1" customWidth="1"/>
    <col min="13" max="13" width="5.85546875" customWidth="1"/>
    <col min="14" max="14" width="10.7109375" bestFit="1" customWidth="1"/>
    <col min="15" max="15" width="12.42578125" bestFit="1" customWidth="1"/>
    <col min="17" max="17" width="6.140625" customWidth="1"/>
    <col min="18" max="18" width="10.7109375" bestFit="1" customWidth="1"/>
    <col min="19" max="19" width="12.42578125" bestFit="1" customWidth="1"/>
    <col min="21" max="21" width="19.42578125" customWidth="1"/>
    <col min="22" max="22" width="27.7109375" bestFit="1" customWidth="1"/>
    <col min="23" max="23" width="24.7109375" bestFit="1" customWidth="1"/>
  </cols>
  <sheetData>
    <row r="1" spans="1:23" ht="18" x14ac:dyDescent="0.25">
      <c r="A1" s="470" t="s">
        <v>1240</v>
      </c>
      <c r="I1" s="820" t="s">
        <v>1293</v>
      </c>
      <c r="J1" s="820"/>
      <c r="K1" s="820"/>
      <c r="U1" s="821" t="s">
        <v>1303</v>
      </c>
      <c r="V1" s="821"/>
    </row>
    <row r="2" spans="1:23" x14ac:dyDescent="0.2">
      <c r="A2" s="537" t="s">
        <v>1241</v>
      </c>
      <c r="U2" s="472" t="s">
        <v>1304</v>
      </c>
      <c r="V2" s="472" t="s">
        <v>1305</v>
      </c>
      <c r="W2" s="472" t="s">
        <v>2</v>
      </c>
    </row>
    <row r="3" spans="1:23" ht="15" x14ac:dyDescent="0.25">
      <c r="I3" s="545" t="s">
        <v>1294</v>
      </c>
      <c r="M3" s="472" t="s">
        <v>1299</v>
      </c>
      <c r="Q3" s="472" t="s">
        <v>1301</v>
      </c>
      <c r="U3" t="s">
        <v>1306</v>
      </c>
      <c r="V3" t="s">
        <v>1307</v>
      </c>
      <c r="W3" t="s">
        <v>1308</v>
      </c>
    </row>
    <row r="4" spans="1:23" ht="15.75" x14ac:dyDescent="0.25">
      <c r="A4" s="660" t="s">
        <v>1242</v>
      </c>
      <c r="I4" s="537" t="s">
        <v>1295</v>
      </c>
      <c r="M4" s="641" t="s">
        <v>1300</v>
      </c>
      <c r="Q4" s="641" t="s">
        <v>1302</v>
      </c>
      <c r="U4" t="s">
        <v>1309</v>
      </c>
      <c r="V4" t="s">
        <v>1310</v>
      </c>
      <c r="W4" t="s">
        <v>1311</v>
      </c>
    </row>
    <row r="5" spans="1:23" x14ac:dyDescent="0.2">
      <c r="A5" s="484" t="s">
        <v>334</v>
      </c>
      <c r="B5" s="484" t="s">
        <v>1243</v>
      </c>
      <c r="C5" s="484" t="s">
        <v>1244</v>
      </c>
      <c r="D5" s="484" t="s">
        <v>1245</v>
      </c>
      <c r="E5" s="484" t="s">
        <v>1246</v>
      </c>
      <c r="F5" s="484" t="s">
        <v>1247</v>
      </c>
      <c r="I5" s="472" t="s">
        <v>1296</v>
      </c>
      <c r="J5" s="596">
        <v>0.25</v>
      </c>
      <c r="M5" s="472" t="s">
        <v>1296</v>
      </c>
      <c r="N5" s="596">
        <v>0.375</v>
      </c>
      <c r="Q5" s="472" t="s">
        <v>1296</v>
      </c>
      <c r="R5" s="596">
        <v>0.5</v>
      </c>
      <c r="U5" t="s">
        <v>1312</v>
      </c>
      <c r="V5" t="s">
        <v>1313</v>
      </c>
      <c r="W5" t="s">
        <v>1314</v>
      </c>
    </row>
    <row r="6" spans="1:23" x14ac:dyDescent="0.2">
      <c r="A6" s="661" t="s">
        <v>1248</v>
      </c>
      <c r="B6" s="481">
        <v>11</v>
      </c>
      <c r="C6">
        <v>745</v>
      </c>
      <c r="D6" s="662">
        <v>24438</v>
      </c>
      <c r="E6" t="s">
        <v>1249</v>
      </c>
      <c r="F6" t="s">
        <v>1250</v>
      </c>
      <c r="U6" t="s">
        <v>1315</v>
      </c>
      <c r="V6" t="s">
        <v>1316</v>
      </c>
      <c r="W6" t="s">
        <v>1317</v>
      </c>
    </row>
    <row r="7" spans="1:23" x14ac:dyDescent="0.2">
      <c r="A7" t="s">
        <v>1251</v>
      </c>
      <c r="B7" s="481">
        <v>15.8</v>
      </c>
      <c r="C7">
        <v>870</v>
      </c>
      <c r="D7" s="662">
        <v>27103</v>
      </c>
      <c r="E7" t="s">
        <v>1252</v>
      </c>
      <c r="F7" t="s">
        <v>1250</v>
      </c>
      <c r="I7" s="472" t="s">
        <v>785</v>
      </c>
      <c r="J7" s="472" t="s">
        <v>1297</v>
      </c>
      <c r="K7" s="472" t="s">
        <v>1298</v>
      </c>
      <c r="M7" s="472" t="s">
        <v>785</v>
      </c>
      <c r="N7" s="472" t="s">
        <v>1297</v>
      </c>
      <c r="O7" s="472" t="s">
        <v>1298</v>
      </c>
      <c r="Q7" s="472" t="s">
        <v>785</v>
      </c>
      <c r="R7" s="472" t="s">
        <v>1297</v>
      </c>
      <c r="S7" s="472" t="s">
        <v>1298</v>
      </c>
      <c r="U7" t="s">
        <v>1318</v>
      </c>
      <c r="V7" t="s">
        <v>1319</v>
      </c>
      <c r="W7" t="s">
        <v>1320</v>
      </c>
    </row>
    <row r="8" spans="1:23" x14ac:dyDescent="0.2">
      <c r="A8" t="s">
        <v>386</v>
      </c>
      <c r="B8" s="481">
        <v>12.6</v>
      </c>
      <c r="C8">
        <v>705</v>
      </c>
      <c r="D8" s="662">
        <v>26887</v>
      </c>
      <c r="E8" t="s">
        <v>1253</v>
      </c>
      <c r="F8" t="s">
        <v>1254</v>
      </c>
      <c r="I8" t="s">
        <v>24</v>
      </c>
      <c r="J8" s="482">
        <f>SQRT($B$18*J5/(440*2^((62-69)/12)))</f>
        <v>4.5611768532658736</v>
      </c>
      <c r="K8" s="481">
        <f t="shared" ref="K8:K15" si="0">J8*25.4</f>
        <v>115.85389207295319</v>
      </c>
      <c r="M8" s="472" t="s">
        <v>1007</v>
      </c>
      <c r="N8" s="482">
        <f>SQRT($B$18*N5/(440*2^((55-69)/12)))</f>
        <v>6.8379033290446474</v>
      </c>
      <c r="O8" s="481">
        <f t="shared" ref="O8:O19" si="1">N8*25.4</f>
        <v>173.68274455773403</v>
      </c>
      <c r="Q8" s="472" t="s">
        <v>1003</v>
      </c>
      <c r="R8" s="482">
        <f>SQRT($B$18*R5/(440*2^((48-69)/12)))</f>
        <v>9.6647970857621122</v>
      </c>
      <c r="S8" s="481">
        <f t="shared" ref="S8:S23" si="2">R8*25.4</f>
        <v>245.48584597835764</v>
      </c>
    </row>
    <row r="9" spans="1:23" x14ac:dyDescent="0.2">
      <c r="A9" t="s">
        <v>464</v>
      </c>
      <c r="B9" s="481">
        <v>10.3</v>
      </c>
      <c r="C9">
        <v>560</v>
      </c>
      <c r="D9" s="662">
        <v>27275</v>
      </c>
      <c r="E9" t="s">
        <v>1255</v>
      </c>
      <c r="F9" t="s">
        <v>1254</v>
      </c>
      <c r="I9" t="s">
        <v>25</v>
      </c>
      <c r="J9" s="482">
        <f>SQRT($B$18*J5/(440*2^((64-69)/12)))</f>
        <v>4.3051776673959763</v>
      </c>
      <c r="K9" s="481">
        <f t="shared" si="0"/>
        <v>109.3515127518578</v>
      </c>
      <c r="M9" s="472" t="s">
        <v>500</v>
      </c>
      <c r="N9" s="482">
        <f>SQRT($B$18*N5/(440*2^((57-69)/12)))</f>
        <v>6.4541213048858808</v>
      </c>
      <c r="O9" s="481">
        <f t="shared" si="1"/>
        <v>163.93468114410138</v>
      </c>
      <c r="Q9" s="472" t="s">
        <v>1277</v>
      </c>
      <c r="R9" s="482">
        <f>SQRT($B$18*R5/(440*2^((50-69)/12)))</f>
        <v>9.1223537065317455</v>
      </c>
      <c r="S9" s="481">
        <f t="shared" si="2"/>
        <v>231.70778414590632</v>
      </c>
      <c r="U9" s="472" t="s">
        <v>1321</v>
      </c>
      <c r="V9" s="472"/>
      <c r="W9" s="472" t="s">
        <v>1322</v>
      </c>
    </row>
    <row r="10" spans="1:23" x14ac:dyDescent="0.2">
      <c r="A10" t="s">
        <v>398</v>
      </c>
      <c r="B10" s="481">
        <v>11.6</v>
      </c>
      <c r="C10">
        <v>610</v>
      </c>
      <c r="D10" s="662">
        <v>27734</v>
      </c>
      <c r="E10" t="s">
        <v>1252</v>
      </c>
      <c r="F10" t="s">
        <v>1254</v>
      </c>
      <c r="I10" t="s">
        <v>11</v>
      </c>
      <c r="J10" s="482">
        <f>SQRT($B$18*J5/(440*2^((65-69)/12)))</f>
        <v>4.1826176162163655</v>
      </c>
      <c r="K10" s="481">
        <f t="shared" si="0"/>
        <v>106.23848745189568</v>
      </c>
      <c r="M10" s="472" t="s">
        <v>5</v>
      </c>
      <c r="N10" s="482">
        <f>SQRT($B$18*N5/(440*2^((59-69)/12)))</f>
        <v>6.091879310613435</v>
      </c>
      <c r="O10" s="481">
        <f t="shared" si="1"/>
        <v>154.73373448958125</v>
      </c>
      <c r="Q10" s="472" t="s">
        <v>1279</v>
      </c>
      <c r="R10" s="482">
        <f>SQRT($B$18*R5/(440*2^((52-69)/12)))</f>
        <v>8.6103553347919526</v>
      </c>
      <c r="S10" s="481">
        <f t="shared" si="2"/>
        <v>218.70302550371559</v>
      </c>
      <c r="U10" t="s">
        <v>1323</v>
      </c>
      <c r="W10" t="s">
        <v>1324</v>
      </c>
    </row>
    <row r="11" spans="1:23" x14ac:dyDescent="0.2">
      <c r="A11" t="s">
        <v>358</v>
      </c>
      <c r="B11" s="481">
        <v>12.3</v>
      </c>
      <c r="C11">
        <v>770</v>
      </c>
      <c r="D11" s="662">
        <v>25419</v>
      </c>
      <c r="E11" t="s">
        <v>1256</v>
      </c>
      <c r="F11" t="s">
        <v>1257</v>
      </c>
      <c r="I11" t="s">
        <v>27</v>
      </c>
      <c r="J11" s="482">
        <f>SQRT($B$18*J5/(440*2^((67-69)/12)))</f>
        <v>3.9478653277165652</v>
      </c>
      <c r="K11" s="481">
        <f t="shared" si="0"/>
        <v>100.27577932400075</v>
      </c>
      <c r="M11" s="472" t="s">
        <v>244</v>
      </c>
      <c r="N11" s="482">
        <f>SQRT($B$18*N5/(440*2^((60-69)/12)))</f>
        <v>5.9184553319137612</v>
      </c>
      <c r="O11" s="481">
        <f t="shared" si="1"/>
        <v>150.32876543060954</v>
      </c>
      <c r="Q11" s="472" t="s">
        <v>1280</v>
      </c>
      <c r="R11" s="482">
        <f>SQRT($B$18*R5/(440*2^((53-69)/12)))</f>
        <v>8.365235232432731</v>
      </c>
      <c r="S11" s="481">
        <f t="shared" si="2"/>
        <v>212.47697490379136</v>
      </c>
      <c r="U11" t="s">
        <v>1325</v>
      </c>
      <c r="W11" t="s">
        <v>1326</v>
      </c>
    </row>
    <row r="12" spans="1:23" x14ac:dyDescent="0.2">
      <c r="A12" t="s">
        <v>1258</v>
      </c>
      <c r="B12" s="481">
        <v>10</v>
      </c>
      <c r="C12">
        <v>680</v>
      </c>
      <c r="D12" s="662">
        <v>24389</v>
      </c>
      <c r="E12" t="s">
        <v>1259</v>
      </c>
      <c r="F12" t="s">
        <v>1257</v>
      </c>
      <c r="I12" t="s">
        <v>29</v>
      </c>
      <c r="J12" s="482">
        <f>SQRT($B$18*J5/(440*2^((69-69)/12)))</f>
        <v>3.7262886727583617</v>
      </c>
      <c r="K12" s="481">
        <f t="shared" si="0"/>
        <v>94.647732288062386</v>
      </c>
      <c r="M12" s="472" t="s">
        <v>24</v>
      </c>
      <c r="N12" s="482">
        <f>SQRT($B$18*N5/(440*2^((62-69)/12)))</f>
        <v>5.5862779585474049</v>
      </c>
      <c r="O12" s="481">
        <f t="shared" si="1"/>
        <v>141.89146014710408</v>
      </c>
      <c r="Q12" s="472" t="s">
        <v>1007</v>
      </c>
      <c r="R12" s="482">
        <f>SQRT($B$18*R5/(440*2^((55-69)/12)))</f>
        <v>7.8957306554331304</v>
      </c>
      <c r="S12" s="481">
        <f t="shared" si="2"/>
        <v>200.5515586480015</v>
      </c>
      <c r="U12" t="s">
        <v>1327</v>
      </c>
      <c r="W12" t="e" cm="1">
        <f t="array" ref="W12">1200*LOG(meas/pred,2)</f>
        <v>#NAME?</v>
      </c>
    </row>
    <row r="13" spans="1:23" x14ac:dyDescent="0.2">
      <c r="A13" t="s">
        <v>378</v>
      </c>
      <c r="B13" s="481">
        <v>10.1</v>
      </c>
      <c r="C13">
        <v>590</v>
      </c>
      <c r="D13" s="662">
        <v>26314</v>
      </c>
      <c r="E13" t="s">
        <v>1260</v>
      </c>
      <c r="F13" t="s">
        <v>1254</v>
      </c>
      <c r="I13" t="s">
        <v>31</v>
      </c>
      <c r="J13" s="482">
        <f>SQRT($B$18*J5/(440*2^((71-69)/12)))</f>
        <v>3.5171481598533783</v>
      </c>
      <c r="K13" s="481">
        <f t="shared" si="0"/>
        <v>89.335563260275805</v>
      </c>
      <c r="M13" s="472" t="s">
        <v>25</v>
      </c>
      <c r="N13" s="482">
        <f>SQRT($B$18*N5/(440*2^((64-69)/12)))</f>
        <v>5.2727442685728256</v>
      </c>
      <c r="O13" s="481">
        <f t="shared" si="1"/>
        <v>133.92770442174975</v>
      </c>
      <c r="Q13" s="472" t="s">
        <v>500</v>
      </c>
      <c r="R13" s="482">
        <f>SQRT($B$18*R5/(440*2^((57-69)/12)))</f>
        <v>7.4525773455167235</v>
      </c>
      <c r="S13" s="481">
        <f t="shared" si="2"/>
        <v>189.29546457612477</v>
      </c>
      <c r="U13" t="s">
        <v>1328</v>
      </c>
      <c r="W13" t="s">
        <v>1329</v>
      </c>
    </row>
    <row r="14" spans="1:23" x14ac:dyDescent="0.2">
      <c r="A14" t="s">
        <v>393</v>
      </c>
      <c r="B14" s="481">
        <v>7.7</v>
      </c>
      <c r="C14">
        <v>370</v>
      </c>
      <c r="D14" s="662">
        <v>29013</v>
      </c>
      <c r="E14" t="s">
        <v>1261</v>
      </c>
      <c r="F14" t="s">
        <v>1257</v>
      </c>
      <c r="I14" t="s">
        <v>32</v>
      </c>
      <c r="J14" s="482">
        <f>SQRT($B$18*J5/(440*2^((72-69)/12)))</f>
        <v>3.417021779067186</v>
      </c>
      <c r="K14" s="481">
        <f t="shared" si="0"/>
        <v>86.792353188306521</v>
      </c>
      <c r="M14" s="472" t="s">
        <v>11</v>
      </c>
      <c r="N14" s="482">
        <f>SQRT($B$18*N5/(440*2^((65-69)/12)))</f>
        <v>5.1226394744531074</v>
      </c>
      <c r="O14" s="481">
        <f t="shared" si="1"/>
        <v>130.11504265110892</v>
      </c>
      <c r="Q14" s="472" t="s">
        <v>5</v>
      </c>
      <c r="R14" s="482">
        <f>SQRT($B$18*R5/(440*2^((59-69)/12)))</f>
        <v>7.0342963197067565</v>
      </c>
      <c r="S14" s="481">
        <f t="shared" si="2"/>
        <v>178.67112652055161</v>
      </c>
      <c r="U14" t="s">
        <v>1330</v>
      </c>
      <c r="W14" t="s">
        <v>1331</v>
      </c>
    </row>
    <row r="15" spans="1:23" x14ac:dyDescent="0.2">
      <c r="I15" t="s">
        <v>34</v>
      </c>
      <c r="J15" s="482">
        <f>SQRT($B$18*J5/(440*2^((74-69)/12)))</f>
        <v>3.2252390831354174</v>
      </c>
      <c r="K15" s="481">
        <f t="shared" si="0"/>
        <v>81.921072711639596</v>
      </c>
      <c r="M15" s="472" t="s">
        <v>27</v>
      </c>
      <c r="N15" s="482">
        <f>SQRT($B$18*N5/(440*2^((67-69)/12)))</f>
        <v>4.8351278130655384</v>
      </c>
      <c r="O15" s="481">
        <f t="shared" si="1"/>
        <v>122.81224645186467</v>
      </c>
      <c r="Q15" s="472" t="s">
        <v>244</v>
      </c>
      <c r="R15" s="482">
        <f>SQRT($B$18*R5/(440*2^((60-69)/12)))</f>
        <v>6.8340435581343719</v>
      </c>
      <c r="S15" s="481">
        <f t="shared" si="2"/>
        <v>173.58470637661304</v>
      </c>
    </row>
    <row r="16" spans="1:23" ht="15.75" x14ac:dyDescent="0.25">
      <c r="A16" s="663" t="s">
        <v>1262</v>
      </c>
      <c r="M16" s="472" t="s">
        <v>29</v>
      </c>
      <c r="N16" s="482">
        <f>SQRT($B$18*N5/(440*2^((69-69)/12)))</f>
        <v>4.563752941285375</v>
      </c>
      <c r="O16" s="481">
        <f t="shared" si="1"/>
        <v>115.91932470864852</v>
      </c>
      <c r="Q16" s="472" t="s">
        <v>24</v>
      </c>
      <c r="R16" s="482">
        <f>SQRT($B$18*R5/(440*2^((62-69)/12)))</f>
        <v>6.4504781662708348</v>
      </c>
      <c r="S16" s="481">
        <f t="shared" si="2"/>
        <v>163.84214542327919</v>
      </c>
      <c r="U16" s="472" t="s">
        <v>1332</v>
      </c>
      <c r="V16" s="472"/>
      <c r="W16" s="472"/>
    </row>
    <row r="17" spans="1:23" x14ac:dyDescent="0.2">
      <c r="A17" s="472" t="s">
        <v>1263</v>
      </c>
      <c r="B17" s="564" t="s">
        <v>1248</v>
      </c>
      <c r="C17" s="598" t="s">
        <v>1268</v>
      </c>
      <c r="M17" s="472" t="s">
        <v>31</v>
      </c>
      <c r="N17" s="482">
        <f>SQRT($B$18*N5/(440*2^((71-69)/12)))</f>
        <v>4.3076091707047901</v>
      </c>
      <c r="O17" s="481">
        <f t="shared" si="1"/>
        <v>109.41327293590166</v>
      </c>
      <c r="Q17" s="472" t="s">
        <v>25</v>
      </c>
      <c r="R17" s="482">
        <f>SQRT($B$18*R5/(440*2^((64-69)/12)))</f>
        <v>6.0884406456571547</v>
      </c>
      <c r="S17" s="481">
        <f t="shared" si="2"/>
        <v>154.64639239969173</v>
      </c>
      <c r="U17" t="s">
        <v>1333</v>
      </c>
      <c r="W17" t="s">
        <v>1334</v>
      </c>
    </row>
    <row r="18" spans="1:23" x14ac:dyDescent="0.2">
      <c r="A18" s="472" t="s">
        <v>1264</v>
      </c>
      <c r="B18" s="662">
        <f>VLOOKUP(B17,A6:D14,4,FALSE)</f>
        <v>24438</v>
      </c>
      <c r="M18" s="472" t="s">
        <v>32</v>
      </c>
      <c r="N18" s="482">
        <f>SQRT($B$18*N5/(440*2^((72-69)/12)))</f>
        <v>4.1849798993458993</v>
      </c>
      <c r="O18" s="481">
        <f t="shared" si="1"/>
        <v>106.29848944338583</v>
      </c>
      <c r="Q18" s="472" t="s">
        <v>11</v>
      </c>
      <c r="R18" s="482">
        <f>SQRT($B$18*R5/(440*2^((65-69)/12)))</f>
        <v>5.9151145590738095</v>
      </c>
      <c r="S18" s="481">
        <f t="shared" si="2"/>
        <v>150.24390980047474</v>
      </c>
      <c r="U18" t="s">
        <v>1335</v>
      </c>
      <c r="W18" t="s">
        <v>1336</v>
      </c>
    </row>
    <row r="19" spans="1:23" x14ac:dyDescent="0.2">
      <c r="A19" s="472" t="s">
        <v>1265</v>
      </c>
      <c r="B19" s="596">
        <v>0.25</v>
      </c>
      <c r="C19" s="598" t="s">
        <v>1269</v>
      </c>
      <c r="M19" s="472" t="s">
        <v>34</v>
      </c>
      <c r="N19" s="482">
        <f>SQRT($B$18*N5/(440*2^((74-69)/12)))</f>
        <v>3.9500950260818133</v>
      </c>
      <c r="O19" s="481">
        <f t="shared" si="1"/>
        <v>100.33241366247805</v>
      </c>
      <c r="Q19" s="472" t="s">
        <v>27</v>
      </c>
      <c r="R19" s="482">
        <f>SQRT($B$18*R5/(440*2^((67-69)/12)))</f>
        <v>5.5831246888792698</v>
      </c>
      <c r="S19" s="481">
        <f t="shared" si="2"/>
        <v>141.81136709753343</v>
      </c>
      <c r="U19" t="s">
        <v>1337</v>
      </c>
      <c r="W19" t="s">
        <v>1338</v>
      </c>
    </row>
    <row r="20" spans="1:23" x14ac:dyDescent="0.2">
      <c r="A20" s="472" t="s">
        <v>1266</v>
      </c>
      <c r="B20" s="596">
        <v>0.75</v>
      </c>
      <c r="C20" s="598" t="s">
        <v>1270</v>
      </c>
      <c r="Q20" s="472" t="s">
        <v>29</v>
      </c>
      <c r="R20" s="482">
        <f>SQRT($B$18*R5/(440*2^((69-69)/12)))</f>
        <v>5.2697679783321147</v>
      </c>
      <c r="S20" s="481">
        <f t="shared" si="2"/>
        <v>133.85210664963572</v>
      </c>
      <c r="U20" t="s">
        <v>1339</v>
      </c>
      <c r="W20" t="s">
        <v>1340</v>
      </c>
    </row>
    <row r="21" spans="1:23" x14ac:dyDescent="0.2">
      <c r="A21" s="472" t="s">
        <v>1267</v>
      </c>
      <c r="B21" s="596">
        <v>0.125</v>
      </c>
      <c r="C21" s="598" t="s">
        <v>1271</v>
      </c>
      <c r="Q21" s="472" t="s">
        <v>31</v>
      </c>
      <c r="R21" s="482">
        <f>SQRT($B$18*R5/(440*2^((71-69)/12)))</f>
        <v>4.9739986285402225</v>
      </c>
      <c r="S21" s="481">
        <f t="shared" si="2"/>
        <v>126.33956516492164</v>
      </c>
      <c r="U21" t="s">
        <v>1341</v>
      </c>
      <c r="W21" t="s">
        <v>1342</v>
      </c>
    </row>
    <row r="22" spans="1:23" x14ac:dyDescent="0.2">
      <c r="Q22" s="472" t="s">
        <v>32</v>
      </c>
      <c r="R22" s="482">
        <f>SQRT($B$18*R5/(440*2^((72-69)/12)))</f>
        <v>4.8323985428810561</v>
      </c>
      <c r="S22" s="481">
        <f t="shared" si="2"/>
        <v>122.74292298917882</v>
      </c>
      <c r="U22" t="s">
        <v>1343</v>
      </c>
      <c r="W22" t="s">
        <v>1344</v>
      </c>
    </row>
    <row r="23" spans="1:23" x14ac:dyDescent="0.2">
      <c r="A23" s="486" t="s">
        <v>1062</v>
      </c>
      <c r="B23" s="486" t="s">
        <v>1272</v>
      </c>
      <c r="C23" s="664" t="s">
        <v>1014</v>
      </c>
      <c r="D23" s="486" t="s">
        <v>1273</v>
      </c>
      <c r="E23" s="486" t="s">
        <v>1274</v>
      </c>
      <c r="F23" s="486" t="s">
        <v>1275</v>
      </c>
      <c r="Q23" s="472" t="s">
        <v>34</v>
      </c>
      <c r="R23" s="482">
        <f>SQRT($B$18*R5/(440*2^((74-69)/12)))</f>
        <v>4.5611768532658736</v>
      </c>
      <c r="S23" s="481">
        <f t="shared" si="2"/>
        <v>115.85389207295319</v>
      </c>
    </row>
    <row r="24" spans="1:23" x14ac:dyDescent="0.2">
      <c r="A24" s="472" t="s">
        <v>1003</v>
      </c>
      <c r="B24" s="596">
        <v>48</v>
      </c>
      <c r="C24" s="469">
        <f t="shared" ref="C24:C60" si="3">440*2^((B24-69)/12)</f>
        <v>130.81278265029931</v>
      </c>
      <c r="D24" s="482">
        <f t="shared" ref="D24:D60" si="4">SQRT($B$18*$B$19/C24)</f>
        <v>6.8340435581343719</v>
      </c>
      <c r="E24" s="481">
        <f t="shared" ref="E24:E60" si="5">D24*25.4</f>
        <v>173.58470637661304</v>
      </c>
      <c r="F24" s="482">
        <f t="shared" ref="F24:F60" si="6">$B$20+2*$B$21</f>
        <v>1</v>
      </c>
    </row>
    <row r="25" spans="1:23" x14ac:dyDescent="0.2">
      <c r="A25" s="472" t="s">
        <v>1276</v>
      </c>
      <c r="B25" s="596">
        <v>49</v>
      </c>
      <c r="C25" s="469">
        <f t="shared" si="3"/>
        <v>138.59131548843604</v>
      </c>
      <c r="D25" s="482">
        <f t="shared" si="4"/>
        <v>6.6394916039625818</v>
      </c>
      <c r="E25" s="481">
        <f t="shared" si="5"/>
        <v>168.64308674064958</v>
      </c>
      <c r="F25" s="482">
        <f t="shared" si="6"/>
        <v>1</v>
      </c>
    </row>
    <row r="26" spans="1:23" x14ac:dyDescent="0.2">
      <c r="A26" s="472" t="s">
        <v>1277</v>
      </c>
      <c r="B26" s="596">
        <v>50</v>
      </c>
      <c r="C26" s="469">
        <f t="shared" si="3"/>
        <v>146.83238395870382</v>
      </c>
      <c r="D26" s="482">
        <f t="shared" si="4"/>
        <v>6.4504781662708339</v>
      </c>
      <c r="E26" s="481">
        <f t="shared" si="5"/>
        <v>163.84214542327916</v>
      </c>
      <c r="F26" s="482">
        <f t="shared" si="6"/>
        <v>1</v>
      </c>
    </row>
    <row r="27" spans="1:23" x14ac:dyDescent="0.2">
      <c r="A27" s="472" t="s">
        <v>1278</v>
      </c>
      <c r="B27" s="596">
        <v>51</v>
      </c>
      <c r="C27" s="469">
        <f t="shared" si="3"/>
        <v>155.56349186104046</v>
      </c>
      <c r="D27" s="482">
        <f t="shared" si="4"/>
        <v>6.266845574246056</v>
      </c>
      <c r="E27" s="481">
        <f t="shared" si="5"/>
        <v>159.17787758584981</v>
      </c>
      <c r="F27" s="482">
        <f t="shared" si="6"/>
        <v>1</v>
      </c>
    </row>
    <row r="28" spans="1:23" x14ac:dyDescent="0.2">
      <c r="A28" s="472" t="s">
        <v>1279</v>
      </c>
      <c r="B28" s="596">
        <v>52</v>
      </c>
      <c r="C28" s="469">
        <f t="shared" si="3"/>
        <v>164.81377845643496</v>
      </c>
      <c r="D28" s="482">
        <f t="shared" si="4"/>
        <v>6.0884406456571547</v>
      </c>
      <c r="E28" s="481">
        <f t="shared" si="5"/>
        <v>154.64639239969173</v>
      </c>
      <c r="F28" s="482">
        <f t="shared" si="6"/>
        <v>1</v>
      </c>
    </row>
    <row r="29" spans="1:23" x14ac:dyDescent="0.2">
      <c r="A29" s="472" t="s">
        <v>1280</v>
      </c>
      <c r="B29" s="596">
        <v>53</v>
      </c>
      <c r="C29" s="469">
        <f t="shared" si="3"/>
        <v>174.61411571650197</v>
      </c>
      <c r="D29" s="482">
        <f t="shared" si="4"/>
        <v>5.9151145590738086</v>
      </c>
      <c r="E29" s="481">
        <f t="shared" si="5"/>
        <v>150.24390980047474</v>
      </c>
      <c r="F29" s="482">
        <f t="shared" si="6"/>
        <v>1</v>
      </c>
    </row>
    <row r="30" spans="1:23" x14ac:dyDescent="0.2">
      <c r="A30" s="472" t="s">
        <v>1281</v>
      </c>
      <c r="B30" s="596">
        <v>54</v>
      </c>
      <c r="C30" s="469">
        <f t="shared" si="3"/>
        <v>184.99721135581723</v>
      </c>
      <c r="D30" s="482">
        <f t="shared" si="4"/>
        <v>5.7467227297229329</v>
      </c>
      <c r="E30" s="481">
        <f t="shared" si="5"/>
        <v>145.96675733496249</v>
      </c>
      <c r="F30" s="482">
        <f t="shared" si="6"/>
        <v>1</v>
      </c>
    </row>
    <row r="31" spans="1:23" x14ac:dyDescent="0.2">
      <c r="A31" s="472" t="s">
        <v>1007</v>
      </c>
      <c r="B31" s="596">
        <v>55</v>
      </c>
      <c r="C31" s="469">
        <f t="shared" si="3"/>
        <v>195.99771799087463</v>
      </c>
      <c r="D31" s="482">
        <f t="shared" si="4"/>
        <v>5.5831246888792698</v>
      </c>
      <c r="E31" s="481">
        <f t="shared" si="5"/>
        <v>141.81136709753343</v>
      </c>
      <c r="F31" s="482">
        <f t="shared" si="6"/>
        <v>1</v>
      </c>
    </row>
    <row r="32" spans="1:23" x14ac:dyDescent="0.2">
      <c r="A32" s="472" t="s">
        <v>1282</v>
      </c>
      <c r="B32" s="596">
        <v>56</v>
      </c>
      <c r="C32" s="469">
        <f t="shared" si="3"/>
        <v>207.65234878997259</v>
      </c>
      <c r="D32" s="482">
        <f t="shared" si="4"/>
        <v>5.4241839666894993</v>
      </c>
      <c r="E32" s="481">
        <f t="shared" si="5"/>
        <v>137.77427275391327</v>
      </c>
      <c r="F32" s="482">
        <f t="shared" si="6"/>
        <v>1</v>
      </c>
    </row>
    <row r="33" spans="1:6" x14ac:dyDescent="0.2">
      <c r="A33" s="472" t="s">
        <v>500</v>
      </c>
      <c r="B33" s="596">
        <v>57</v>
      </c>
      <c r="C33" s="469">
        <f t="shared" si="3"/>
        <v>220</v>
      </c>
      <c r="D33" s="482">
        <f t="shared" si="4"/>
        <v>5.2697679783321147</v>
      </c>
      <c r="E33" s="481">
        <f t="shared" si="5"/>
        <v>133.85210664963572</v>
      </c>
      <c r="F33" s="482">
        <f t="shared" si="6"/>
        <v>1</v>
      </c>
    </row>
    <row r="34" spans="1:6" x14ac:dyDescent="0.2">
      <c r="A34" s="472" t="s">
        <v>1283</v>
      </c>
      <c r="B34" s="596">
        <v>58</v>
      </c>
      <c r="C34" s="469">
        <f t="shared" si="3"/>
        <v>233.08188075904496</v>
      </c>
      <c r="D34" s="482">
        <f t="shared" si="4"/>
        <v>5.119747913418113</v>
      </c>
      <c r="E34" s="481">
        <f t="shared" si="5"/>
        <v>130.04159700082008</v>
      </c>
      <c r="F34" s="482">
        <f t="shared" si="6"/>
        <v>1</v>
      </c>
    </row>
    <row r="35" spans="1:6" x14ac:dyDescent="0.2">
      <c r="A35" s="472" t="s">
        <v>5</v>
      </c>
      <c r="B35" s="596">
        <v>59</v>
      </c>
      <c r="C35" s="469">
        <f t="shared" si="3"/>
        <v>246.94165062806206</v>
      </c>
      <c r="D35" s="482">
        <f t="shared" si="4"/>
        <v>4.9739986285402225</v>
      </c>
      <c r="E35" s="481">
        <f t="shared" si="5"/>
        <v>126.33956516492164</v>
      </c>
      <c r="F35" s="482">
        <f t="shared" si="6"/>
        <v>1</v>
      </c>
    </row>
    <row r="36" spans="1:6" x14ac:dyDescent="0.2">
      <c r="A36" s="472" t="s">
        <v>244</v>
      </c>
      <c r="B36" s="596">
        <v>60</v>
      </c>
      <c r="C36" s="469">
        <f t="shared" si="3"/>
        <v>261.62556530059862</v>
      </c>
      <c r="D36" s="482">
        <f t="shared" si="4"/>
        <v>4.8323985428810561</v>
      </c>
      <c r="E36" s="481">
        <f t="shared" si="5"/>
        <v>122.74292298917882</v>
      </c>
      <c r="F36" s="482">
        <f t="shared" si="6"/>
        <v>1</v>
      </c>
    </row>
    <row r="37" spans="1:6" x14ac:dyDescent="0.2">
      <c r="A37" s="472" t="s">
        <v>1284</v>
      </c>
      <c r="B37" s="596">
        <v>61</v>
      </c>
      <c r="C37" s="469">
        <f t="shared" si="3"/>
        <v>277.18263097687208</v>
      </c>
      <c r="D37" s="482">
        <f t="shared" si="4"/>
        <v>4.6948295367930886</v>
      </c>
      <c r="E37" s="481">
        <f t="shared" si="5"/>
        <v>119.24867023454445</v>
      </c>
      <c r="F37" s="482">
        <f t="shared" si="6"/>
        <v>1</v>
      </c>
    </row>
    <row r="38" spans="1:6" x14ac:dyDescent="0.2">
      <c r="A38" s="472" t="s">
        <v>24</v>
      </c>
      <c r="B38" s="596">
        <v>62</v>
      </c>
      <c r="C38" s="469">
        <f t="shared" si="3"/>
        <v>293.66476791740757</v>
      </c>
      <c r="D38" s="482">
        <f t="shared" si="4"/>
        <v>4.5611768532658736</v>
      </c>
      <c r="E38" s="481">
        <f t="shared" si="5"/>
        <v>115.85389207295319</v>
      </c>
      <c r="F38" s="482">
        <f t="shared" si="6"/>
        <v>1</v>
      </c>
    </row>
    <row r="39" spans="1:6" x14ac:dyDescent="0.2">
      <c r="A39" s="472" t="s">
        <v>1285</v>
      </c>
      <c r="B39" s="596">
        <v>63</v>
      </c>
      <c r="C39" s="469">
        <f t="shared" si="3"/>
        <v>311.12698372208087</v>
      </c>
      <c r="D39" s="482">
        <f t="shared" si="4"/>
        <v>4.4313290021982903</v>
      </c>
      <c r="E39" s="481">
        <f t="shared" si="5"/>
        <v>112.55575665583656</v>
      </c>
      <c r="F39" s="482">
        <f t="shared" si="6"/>
        <v>1</v>
      </c>
    </row>
    <row r="40" spans="1:6" x14ac:dyDescent="0.2">
      <c r="A40" s="472" t="s">
        <v>25</v>
      </c>
      <c r="B40" s="596">
        <v>64</v>
      </c>
      <c r="C40" s="469">
        <f t="shared" si="3"/>
        <v>329.62755691286992</v>
      </c>
      <c r="D40" s="482">
        <f t="shared" si="4"/>
        <v>4.3051776673959763</v>
      </c>
      <c r="E40" s="481">
        <f t="shared" si="5"/>
        <v>109.3515127518578</v>
      </c>
      <c r="F40" s="482">
        <f t="shared" si="6"/>
        <v>1</v>
      </c>
    </row>
    <row r="41" spans="1:6" x14ac:dyDescent="0.2">
      <c r="A41" s="472" t="s">
        <v>11</v>
      </c>
      <c r="B41" s="596">
        <v>65</v>
      </c>
      <c r="C41" s="469">
        <f t="shared" si="3"/>
        <v>349.22823143300388</v>
      </c>
      <c r="D41" s="482">
        <f t="shared" si="4"/>
        <v>4.1826176162163655</v>
      </c>
      <c r="E41" s="481">
        <f t="shared" si="5"/>
        <v>106.23848745189568</v>
      </c>
      <c r="F41" s="482">
        <f t="shared" si="6"/>
        <v>1</v>
      </c>
    </row>
    <row r="42" spans="1:6" x14ac:dyDescent="0.2">
      <c r="A42" s="472" t="s">
        <v>424</v>
      </c>
      <c r="B42" s="596">
        <v>66</v>
      </c>
      <c r="C42" s="469">
        <f t="shared" si="3"/>
        <v>369.99442271163446</v>
      </c>
      <c r="D42" s="482">
        <f t="shared" si="4"/>
        <v>4.0635466117859531</v>
      </c>
      <c r="E42" s="481">
        <f t="shared" si="5"/>
        <v>103.21408393936321</v>
      </c>
      <c r="F42" s="482">
        <f t="shared" si="6"/>
        <v>1</v>
      </c>
    </row>
    <row r="43" spans="1:6" x14ac:dyDescent="0.2">
      <c r="A43" s="472" t="s">
        <v>27</v>
      </c>
      <c r="B43" s="596">
        <v>67</v>
      </c>
      <c r="C43" s="469">
        <f t="shared" si="3"/>
        <v>391.99543598174927</v>
      </c>
      <c r="D43" s="482">
        <f t="shared" si="4"/>
        <v>3.9478653277165652</v>
      </c>
      <c r="E43" s="481">
        <f t="shared" si="5"/>
        <v>100.27577932400075</v>
      </c>
      <c r="F43" s="482">
        <f t="shared" si="6"/>
        <v>1</v>
      </c>
    </row>
    <row r="44" spans="1:6" x14ac:dyDescent="0.2">
      <c r="A44" s="472" t="s">
        <v>1286</v>
      </c>
      <c r="B44" s="596">
        <v>68</v>
      </c>
      <c r="C44" s="469">
        <f t="shared" si="3"/>
        <v>415.30469757994513</v>
      </c>
      <c r="D44" s="482">
        <f t="shared" si="4"/>
        <v>3.8354772652494913</v>
      </c>
      <c r="E44" s="481">
        <f t="shared" si="5"/>
        <v>97.42112253733707</v>
      </c>
      <c r="F44" s="482">
        <f t="shared" si="6"/>
        <v>1</v>
      </c>
    </row>
    <row r="45" spans="1:6" x14ac:dyDescent="0.2">
      <c r="A45" s="541" t="s">
        <v>29</v>
      </c>
      <c r="B45" s="550">
        <v>69</v>
      </c>
      <c r="C45" s="665">
        <f t="shared" si="3"/>
        <v>440</v>
      </c>
      <c r="D45" s="552">
        <f t="shared" si="4"/>
        <v>3.7262886727583617</v>
      </c>
      <c r="E45" s="666">
        <f t="shared" si="5"/>
        <v>94.647732288062386</v>
      </c>
      <c r="F45" s="552">
        <f t="shared" si="6"/>
        <v>1</v>
      </c>
    </row>
    <row r="46" spans="1:6" x14ac:dyDescent="0.2">
      <c r="A46" s="472" t="s">
        <v>1287</v>
      </c>
      <c r="B46" s="596">
        <v>70</v>
      </c>
      <c r="C46" s="469">
        <f t="shared" si="3"/>
        <v>466.16376151808993</v>
      </c>
      <c r="D46" s="482">
        <f t="shared" si="4"/>
        <v>3.6202084675436246</v>
      </c>
      <c r="E46" s="481">
        <f t="shared" si="5"/>
        <v>91.953295075608054</v>
      </c>
      <c r="F46" s="482">
        <f t="shared" si="6"/>
        <v>1</v>
      </c>
    </row>
    <row r="47" spans="1:6" x14ac:dyDescent="0.2">
      <c r="A47" s="472" t="s">
        <v>31</v>
      </c>
      <c r="B47" s="596">
        <v>71</v>
      </c>
      <c r="C47" s="469">
        <f t="shared" si="3"/>
        <v>493.88330125612413</v>
      </c>
      <c r="D47" s="482">
        <f t="shared" si="4"/>
        <v>3.5171481598533783</v>
      </c>
      <c r="E47" s="481">
        <f t="shared" si="5"/>
        <v>89.335563260275805</v>
      </c>
      <c r="F47" s="482">
        <f t="shared" si="6"/>
        <v>1</v>
      </c>
    </row>
    <row r="48" spans="1:6" x14ac:dyDescent="0.2">
      <c r="A48" s="472" t="s">
        <v>32</v>
      </c>
      <c r="B48" s="596">
        <v>72</v>
      </c>
      <c r="C48" s="469">
        <f t="shared" si="3"/>
        <v>523.25113060119725</v>
      </c>
      <c r="D48" s="482">
        <f t="shared" si="4"/>
        <v>3.417021779067186</v>
      </c>
      <c r="E48" s="481">
        <f t="shared" si="5"/>
        <v>86.792353188306521</v>
      </c>
      <c r="F48" s="482">
        <f t="shared" si="6"/>
        <v>1</v>
      </c>
    </row>
    <row r="49" spans="1:6" x14ac:dyDescent="0.2">
      <c r="A49" s="472" t="s">
        <v>1288</v>
      </c>
      <c r="B49" s="596">
        <v>73</v>
      </c>
      <c r="C49" s="469">
        <f t="shared" si="3"/>
        <v>554.36526195374415</v>
      </c>
      <c r="D49" s="482">
        <f t="shared" si="4"/>
        <v>3.3197458019812909</v>
      </c>
      <c r="E49" s="481">
        <f t="shared" si="5"/>
        <v>84.32154337032479</v>
      </c>
      <c r="F49" s="482">
        <f t="shared" si="6"/>
        <v>1</v>
      </c>
    </row>
    <row r="50" spans="1:6" x14ac:dyDescent="0.2">
      <c r="A50" s="472" t="s">
        <v>34</v>
      </c>
      <c r="B50" s="596">
        <v>74</v>
      </c>
      <c r="C50" s="469">
        <f t="shared" si="3"/>
        <v>587.32953583481515</v>
      </c>
      <c r="D50" s="482">
        <f t="shared" si="4"/>
        <v>3.2252390831354174</v>
      </c>
      <c r="E50" s="481">
        <f t="shared" si="5"/>
        <v>81.921072711639596</v>
      </c>
      <c r="F50" s="482">
        <f t="shared" si="6"/>
        <v>1</v>
      </c>
    </row>
    <row r="51" spans="1:6" x14ac:dyDescent="0.2">
      <c r="A51" s="472" t="s">
        <v>1289</v>
      </c>
      <c r="B51" s="596">
        <v>75</v>
      </c>
      <c r="C51" s="469">
        <f t="shared" si="3"/>
        <v>622.25396744416184</v>
      </c>
      <c r="D51" s="482">
        <f t="shared" si="4"/>
        <v>3.133422787123028</v>
      </c>
      <c r="E51" s="481">
        <f t="shared" si="5"/>
        <v>79.588938792924907</v>
      </c>
      <c r="F51" s="482">
        <f t="shared" si="6"/>
        <v>1</v>
      </c>
    </row>
    <row r="52" spans="1:6" x14ac:dyDescent="0.2">
      <c r="A52" s="472" t="s">
        <v>36</v>
      </c>
      <c r="B52" s="596">
        <v>76</v>
      </c>
      <c r="C52" s="469">
        <f t="shared" si="3"/>
        <v>659.25511382573984</v>
      </c>
      <c r="D52" s="482">
        <f t="shared" si="4"/>
        <v>3.0442203228285774</v>
      </c>
      <c r="E52" s="481">
        <f t="shared" si="5"/>
        <v>77.323196199845867</v>
      </c>
      <c r="F52" s="482">
        <f t="shared" si="6"/>
        <v>1</v>
      </c>
    </row>
    <row r="53" spans="1:6" x14ac:dyDescent="0.2">
      <c r="A53" s="472" t="s">
        <v>37</v>
      </c>
      <c r="B53" s="596">
        <v>77</v>
      </c>
      <c r="C53" s="469">
        <f t="shared" si="3"/>
        <v>698.45646286600777</v>
      </c>
      <c r="D53" s="482">
        <f t="shared" si="4"/>
        <v>2.9575572795369047</v>
      </c>
      <c r="E53" s="481">
        <f t="shared" si="5"/>
        <v>75.12195490023737</v>
      </c>
      <c r="F53" s="482">
        <f t="shared" si="6"/>
        <v>1</v>
      </c>
    </row>
    <row r="54" spans="1:6" x14ac:dyDescent="0.2">
      <c r="A54" s="472" t="s">
        <v>1290</v>
      </c>
      <c r="B54" s="596">
        <v>78</v>
      </c>
      <c r="C54" s="469">
        <f t="shared" si="3"/>
        <v>739.9888454232688</v>
      </c>
      <c r="D54" s="482">
        <f t="shared" si="4"/>
        <v>2.8733613648614664</v>
      </c>
      <c r="E54" s="481">
        <f t="shared" si="5"/>
        <v>72.983378667481247</v>
      </c>
      <c r="F54" s="482">
        <f t="shared" si="6"/>
        <v>1</v>
      </c>
    </row>
    <row r="55" spans="1:6" x14ac:dyDescent="0.2">
      <c r="A55" s="472" t="s">
        <v>42</v>
      </c>
      <c r="B55" s="596">
        <v>79</v>
      </c>
      <c r="C55" s="469">
        <f t="shared" si="3"/>
        <v>783.99087196349853</v>
      </c>
      <c r="D55" s="482">
        <f t="shared" si="4"/>
        <v>2.7915623444396349</v>
      </c>
      <c r="E55" s="481">
        <f t="shared" si="5"/>
        <v>70.905683548766717</v>
      </c>
      <c r="F55" s="482">
        <f t="shared" si="6"/>
        <v>1</v>
      </c>
    </row>
    <row r="56" spans="1:6" x14ac:dyDescent="0.2">
      <c r="A56" s="472" t="s">
        <v>1291</v>
      </c>
      <c r="B56" s="596">
        <v>80</v>
      </c>
      <c r="C56" s="469">
        <f t="shared" si="3"/>
        <v>830.60939515989025</v>
      </c>
      <c r="D56" s="482">
        <f t="shared" si="4"/>
        <v>2.7120919833447497</v>
      </c>
      <c r="E56" s="481">
        <f t="shared" si="5"/>
        <v>68.887136376956633</v>
      </c>
      <c r="F56" s="482">
        <f t="shared" si="6"/>
        <v>1</v>
      </c>
    </row>
    <row r="57" spans="1:6" x14ac:dyDescent="0.2">
      <c r="A57" s="472" t="s">
        <v>47</v>
      </c>
      <c r="B57" s="596">
        <v>81</v>
      </c>
      <c r="C57" s="469">
        <f t="shared" si="3"/>
        <v>880</v>
      </c>
      <c r="D57" s="482">
        <f t="shared" si="4"/>
        <v>2.6348839891660574</v>
      </c>
      <c r="E57" s="481">
        <f t="shared" si="5"/>
        <v>66.926053324817858</v>
      </c>
      <c r="F57" s="482">
        <f t="shared" si="6"/>
        <v>1</v>
      </c>
    </row>
    <row r="58" spans="1:6" x14ac:dyDescent="0.2">
      <c r="A58" s="472" t="s">
        <v>1292</v>
      </c>
      <c r="B58" s="596">
        <v>82</v>
      </c>
      <c r="C58" s="469">
        <f t="shared" si="3"/>
        <v>932.32752303617963</v>
      </c>
      <c r="D58" s="482">
        <f t="shared" si="4"/>
        <v>2.5598739567090569</v>
      </c>
      <c r="E58" s="481">
        <f t="shared" si="5"/>
        <v>65.020798500410038</v>
      </c>
      <c r="F58" s="482">
        <f t="shared" si="6"/>
        <v>1</v>
      </c>
    </row>
    <row r="59" spans="1:6" x14ac:dyDescent="0.2">
      <c r="A59" s="472" t="s">
        <v>54</v>
      </c>
      <c r="B59" s="596">
        <v>83</v>
      </c>
      <c r="C59" s="469">
        <f t="shared" si="3"/>
        <v>987.76660251224826</v>
      </c>
      <c r="D59" s="482">
        <f t="shared" si="4"/>
        <v>2.4869993142701112</v>
      </c>
      <c r="E59" s="481">
        <f t="shared" si="5"/>
        <v>63.169782582460819</v>
      </c>
      <c r="F59" s="482">
        <f t="shared" si="6"/>
        <v>1</v>
      </c>
    </row>
    <row r="60" spans="1:6" x14ac:dyDescent="0.2">
      <c r="A60" s="472" t="s">
        <v>55</v>
      </c>
      <c r="B60" s="596">
        <v>84</v>
      </c>
      <c r="C60" s="469">
        <f t="shared" si="3"/>
        <v>1046.5022612023945</v>
      </c>
      <c r="D60" s="482">
        <f t="shared" si="4"/>
        <v>2.416199271440528</v>
      </c>
      <c r="E60" s="481">
        <f t="shared" si="5"/>
        <v>61.371461494589411</v>
      </c>
      <c r="F60" s="482">
        <f t="shared" si="6"/>
        <v>1</v>
      </c>
    </row>
    <row r="63" spans="1:6" ht="18" x14ac:dyDescent="0.25">
      <c r="A63" s="833" t="s">
        <v>6778</v>
      </c>
    </row>
    <row r="64" spans="1:6" ht="18.75" x14ac:dyDescent="0.3">
      <c r="A64" s="844" t="s">
        <v>7263</v>
      </c>
    </row>
    <row r="65" spans="1:1" x14ac:dyDescent="0.2">
      <c r="A65" s="734" t="s">
        <v>7246</v>
      </c>
    </row>
    <row r="66" spans="1:1" x14ac:dyDescent="0.2">
      <c r="A66" s="609" t="s">
        <v>6355</v>
      </c>
    </row>
    <row r="67" spans="1:1" x14ac:dyDescent="0.2">
      <c r="A67" s="839" t="s">
        <v>7264</v>
      </c>
    </row>
    <row r="68" spans="1:1" x14ac:dyDescent="0.2">
      <c r="A68" s="842" t="s">
        <v>7265</v>
      </c>
    </row>
    <row r="69" spans="1:1" x14ac:dyDescent="0.2">
      <c r="A69" t="s">
        <v>7266</v>
      </c>
    </row>
    <row r="70" spans="1:1" x14ac:dyDescent="0.2">
      <c r="A70" t="s">
        <v>7267</v>
      </c>
    </row>
    <row r="71" spans="1:1" x14ac:dyDescent="0.2">
      <c r="A71" s="609" t="s">
        <v>6359</v>
      </c>
    </row>
    <row r="72" spans="1:1" x14ac:dyDescent="0.2">
      <c r="A72" s="839" t="s">
        <v>7251</v>
      </c>
    </row>
    <row r="73" spans="1:1" x14ac:dyDescent="0.2">
      <c r="A73" s="842" t="s">
        <v>7268</v>
      </c>
    </row>
    <row r="74" spans="1:1" x14ac:dyDescent="0.2">
      <c r="A74" t="s">
        <v>7269</v>
      </c>
    </row>
    <row r="75" spans="1:1" x14ac:dyDescent="0.2">
      <c r="A75" t="s">
        <v>7270</v>
      </c>
    </row>
    <row r="76" spans="1:1" x14ac:dyDescent="0.2">
      <c r="A76" s="609" t="s">
        <v>6654</v>
      </c>
    </row>
    <row r="77" spans="1:1" x14ac:dyDescent="0.2">
      <c r="A77" s="839" t="s">
        <v>7271</v>
      </c>
    </row>
    <row r="78" spans="1:1" x14ac:dyDescent="0.2">
      <c r="A78" s="842" t="s">
        <v>7272</v>
      </c>
    </row>
    <row r="79" spans="1:1" x14ac:dyDescent="0.2">
      <c r="A79" t="s">
        <v>7273</v>
      </c>
    </row>
    <row r="80" spans="1:1" x14ac:dyDescent="0.2">
      <c r="A80" t="s">
        <v>7274</v>
      </c>
    </row>
    <row r="81" spans="1:1" x14ac:dyDescent="0.2">
      <c r="A81" s="609" t="s">
        <v>6658</v>
      </c>
    </row>
    <row r="82" spans="1:1" x14ac:dyDescent="0.2">
      <c r="A82" s="839" t="s">
        <v>7275</v>
      </c>
    </row>
    <row r="83" spans="1:1" x14ac:dyDescent="0.2">
      <c r="A83" t="s">
        <v>7276</v>
      </c>
    </row>
    <row r="85" spans="1:1" x14ac:dyDescent="0.2">
      <c r="A85" s="609" t="s">
        <v>6661</v>
      </c>
    </row>
    <row r="86" spans="1:1" x14ac:dyDescent="0.2">
      <c r="A86" t="s">
        <v>6779</v>
      </c>
    </row>
    <row r="87" spans="1:1" x14ac:dyDescent="0.2">
      <c r="A87" t="s">
        <v>6780</v>
      </c>
    </row>
    <row r="88" spans="1:1" x14ac:dyDescent="0.2">
      <c r="A88" t="s">
        <v>6781</v>
      </c>
    </row>
    <row r="89" spans="1:1" x14ac:dyDescent="0.2">
      <c r="A89" t="s">
        <v>6782</v>
      </c>
    </row>
    <row r="91" spans="1:1" x14ac:dyDescent="0.2">
      <c r="A91" s="609" t="s">
        <v>6682</v>
      </c>
    </row>
    <row r="92" spans="1:1" x14ac:dyDescent="0.2">
      <c r="A92" t="s">
        <v>6783</v>
      </c>
    </row>
  </sheetData>
  <mergeCells count="2">
    <mergeCell ref="I1:K1"/>
    <mergeCell ref="U1:V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CD6EB-A2B3-42AB-831E-1B2FE0DE771D}">
  <dimension ref="A1:X106"/>
  <sheetViews>
    <sheetView workbookViewId="0">
      <pane ySplit="30" topLeftCell="A31" activePane="bottomLeft" state="frozen"/>
      <selection pane="bottomLeft" activeCell="A56" sqref="A56:A94"/>
    </sheetView>
  </sheetViews>
  <sheetFormatPr defaultRowHeight="12.75" x14ac:dyDescent="0.2"/>
  <cols>
    <col min="1" max="1" width="137.140625" customWidth="1"/>
    <col min="2" max="2" width="5.28515625" customWidth="1"/>
    <col min="3" max="3" width="7.5703125" bestFit="1" customWidth="1"/>
    <col min="4" max="5" width="7.28515625" bestFit="1" customWidth="1"/>
    <col min="6" max="6" width="6.28515625" bestFit="1" customWidth="1"/>
    <col min="7" max="8" width="5.7109375" bestFit="1" customWidth="1"/>
    <col min="9" max="9" width="6.28515625" bestFit="1" customWidth="1"/>
    <col min="10" max="10" width="7" bestFit="1" customWidth="1"/>
    <col min="11" max="11" width="6.7109375" customWidth="1"/>
    <col min="16" max="16" width="21.7109375" bestFit="1" customWidth="1"/>
    <col min="17" max="17" width="28.85546875" bestFit="1" customWidth="1"/>
    <col min="18" max="18" width="36.85546875" bestFit="1" customWidth="1"/>
    <col min="19" max="19" width="12.140625" bestFit="1" customWidth="1"/>
    <col min="20" max="20" width="24.140625" bestFit="1" customWidth="1"/>
    <col min="21" max="21" width="7.7109375" bestFit="1" customWidth="1"/>
    <col min="22" max="22" width="8.85546875" bestFit="1" customWidth="1"/>
    <col min="23" max="23" width="12.140625" bestFit="1" customWidth="1"/>
    <col min="24" max="24" width="27.140625" bestFit="1" customWidth="1"/>
  </cols>
  <sheetData>
    <row r="1" spans="1:24" ht="18" x14ac:dyDescent="0.25">
      <c r="A1" s="470" t="s">
        <v>1345</v>
      </c>
      <c r="P1" s="823" t="s">
        <v>1411</v>
      </c>
      <c r="Q1" s="823"/>
      <c r="R1" s="823"/>
      <c r="T1" s="660" t="s">
        <v>1242</v>
      </c>
    </row>
    <row r="2" spans="1:24" x14ac:dyDescent="0.2">
      <c r="A2" s="537" t="s">
        <v>1346</v>
      </c>
      <c r="P2" s="472"/>
      <c r="Q2" s="472" t="s">
        <v>1412</v>
      </c>
      <c r="R2" s="472" t="s">
        <v>1413</v>
      </c>
      <c r="T2" s="673" t="s">
        <v>334</v>
      </c>
      <c r="U2" s="673" t="s">
        <v>1243</v>
      </c>
      <c r="V2" s="673" t="s">
        <v>1244</v>
      </c>
      <c r="W2" s="673" t="s">
        <v>1347</v>
      </c>
      <c r="X2" s="673" t="s">
        <v>1348</v>
      </c>
    </row>
    <row r="3" spans="1:24" x14ac:dyDescent="0.2">
      <c r="A3" s="537"/>
      <c r="P3" t="s">
        <v>1414</v>
      </c>
      <c r="Q3" t="s">
        <v>1415</v>
      </c>
      <c r="R3" t="s">
        <v>1416</v>
      </c>
      <c r="T3" s="669" t="s">
        <v>1349</v>
      </c>
      <c r="U3" s="481">
        <v>16.100000000000001</v>
      </c>
      <c r="V3">
        <v>1050</v>
      </c>
      <c r="W3" s="662">
        <v>158466</v>
      </c>
      <c r="X3" t="s">
        <v>1350</v>
      </c>
    </row>
    <row r="4" spans="1:24" ht="38.25" x14ac:dyDescent="0.2">
      <c r="A4" s="670" t="s">
        <v>785</v>
      </c>
      <c r="B4" s="670" t="s">
        <v>1272</v>
      </c>
      <c r="C4" s="671" t="s">
        <v>1368</v>
      </c>
      <c r="D4" s="670" t="s">
        <v>1369</v>
      </c>
      <c r="E4" s="670" t="s">
        <v>1370</v>
      </c>
      <c r="F4" s="670" t="s">
        <v>1371</v>
      </c>
      <c r="G4" s="670" t="s">
        <v>1372</v>
      </c>
      <c r="H4" s="670" t="s">
        <v>1373</v>
      </c>
      <c r="I4" s="670" t="s">
        <v>1374</v>
      </c>
      <c r="J4" s="670" t="s">
        <v>1375</v>
      </c>
      <c r="K4" s="670" t="s">
        <v>1376</v>
      </c>
      <c r="P4" t="s">
        <v>1417</v>
      </c>
      <c r="Q4" t="s">
        <v>1418</v>
      </c>
      <c r="R4" t="s">
        <v>1419</v>
      </c>
      <c r="T4" s="661" t="s">
        <v>1351</v>
      </c>
      <c r="U4" s="481">
        <v>11</v>
      </c>
      <c r="V4">
        <v>745</v>
      </c>
      <c r="W4" s="662">
        <v>155502</v>
      </c>
      <c r="X4" t="s">
        <v>1352</v>
      </c>
    </row>
    <row r="5" spans="1:24" ht="47.25" customHeight="1" x14ac:dyDescent="0.2">
      <c r="A5" s="472" t="s">
        <v>1003</v>
      </c>
      <c r="B5" s="540">
        <v>48</v>
      </c>
      <c r="C5" s="481">
        <f t="shared" ref="C5:C36" si="0">440*2^((B5-69)/12)</f>
        <v>130.81278265029931</v>
      </c>
      <c r="D5" s="469">
        <f t="shared" ref="D5:D36" si="1">SQRT($Q$28*$Q$29/C5)</f>
        <v>32.251277644767285</v>
      </c>
      <c r="E5" s="469">
        <f t="shared" ref="E5:E36" si="2">D5*25.4</f>
        <v>819.18245217708898</v>
      </c>
      <c r="F5" s="469">
        <v>2</v>
      </c>
      <c r="G5" s="469">
        <f t="shared" ref="G5:G36" si="3">D5*0.224</f>
        <v>7.2242861924278721</v>
      </c>
      <c r="H5" s="469">
        <f t="shared" ref="H5:H36" si="4">D5*0.776</f>
        <v>25.026991452339413</v>
      </c>
      <c r="I5" s="469">
        <f t="shared" ref="I5:I36" si="5">($Q$29-$Q$30)*MIN(1,(96-B5)/48)</f>
        <v>0.625</v>
      </c>
      <c r="J5" s="469">
        <f t="shared" ref="J5:J36" si="6">$Q$29-I5</f>
        <v>0.25</v>
      </c>
      <c r="K5" s="469">
        <f t="shared" ref="K5:K36" si="7">13552/(4*C5)-0.82*F5</f>
        <v>24.25960958981441</v>
      </c>
      <c r="P5" t="s">
        <v>1420</v>
      </c>
      <c r="Q5" t="s">
        <v>1421</v>
      </c>
      <c r="R5" t="s">
        <v>1422</v>
      </c>
      <c r="T5" t="s">
        <v>1353</v>
      </c>
      <c r="U5" s="481">
        <v>15.4</v>
      </c>
      <c r="V5">
        <v>860</v>
      </c>
      <c r="W5" s="662">
        <v>171249</v>
      </c>
      <c r="X5" t="s">
        <v>1354</v>
      </c>
    </row>
    <row r="6" spans="1:24" x14ac:dyDescent="0.2">
      <c r="A6" s="472" t="s">
        <v>1276</v>
      </c>
      <c r="B6" s="540">
        <v>49</v>
      </c>
      <c r="C6" s="481">
        <f t="shared" si="0"/>
        <v>138.59131548843604</v>
      </c>
      <c r="D6" s="469">
        <f t="shared" si="1"/>
        <v>31.333146374904651</v>
      </c>
      <c r="E6" s="469">
        <f t="shared" si="2"/>
        <v>795.86191792257807</v>
      </c>
      <c r="F6" s="469">
        <v>2</v>
      </c>
      <c r="G6" s="469">
        <f t="shared" si="3"/>
        <v>7.0186247879786423</v>
      </c>
      <c r="H6" s="469">
        <f t="shared" si="4"/>
        <v>24.314521586926009</v>
      </c>
      <c r="I6" s="469">
        <f t="shared" si="5"/>
        <v>0.61197916666666663</v>
      </c>
      <c r="J6" s="469">
        <f t="shared" si="6"/>
        <v>0.26302083333333337</v>
      </c>
      <c r="K6" s="469">
        <f t="shared" si="7"/>
        <v>22.805976200310273</v>
      </c>
      <c r="P6" t="s">
        <v>1423</v>
      </c>
      <c r="Q6" t="s">
        <v>1424</v>
      </c>
      <c r="R6" t="s">
        <v>1424</v>
      </c>
      <c r="T6" t="s">
        <v>386</v>
      </c>
      <c r="U6" s="481">
        <v>12.6</v>
      </c>
      <c r="V6">
        <v>705</v>
      </c>
      <c r="W6" s="662">
        <v>171084</v>
      </c>
      <c r="X6" t="s">
        <v>1355</v>
      </c>
    </row>
    <row r="7" spans="1:24" x14ac:dyDescent="0.2">
      <c r="A7" s="472" t="s">
        <v>1277</v>
      </c>
      <c r="B7" s="540">
        <v>50</v>
      </c>
      <c r="C7" s="481">
        <f t="shared" si="0"/>
        <v>146.83238395870382</v>
      </c>
      <c r="D7" s="469">
        <f t="shared" si="1"/>
        <v>30.441152520061181</v>
      </c>
      <c r="E7" s="469">
        <f t="shared" si="2"/>
        <v>773.20527400955393</v>
      </c>
      <c r="F7" s="469">
        <v>2</v>
      </c>
      <c r="G7" s="469">
        <f t="shared" si="3"/>
        <v>6.8188181644937043</v>
      </c>
      <c r="H7" s="469">
        <f t="shared" si="4"/>
        <v>23.622334355567478</v>
      </c>
      <c r="I7" s="469">
        <f t="shared" si="5"/>
        <v>0.59895833333333337</v>
      </c>
      <c r="J7" s="469">
        <f t="shared" si="6"/>
        <v>0.27604166666666663</v>
      </c>
      <c r="K7" s="469">
        <f t="shared" si="7"/>
        <v>21.433928983900888</v>
      </c>
      <c r="P7" t="s">
        <v>1425</v>
      </c>
      <c r="Q7" t="s">
        <v>1426</v>
      </c>
      <c r="R7" t="s">
        <v>1427</v>
      </c>
      <c r="T7" t="s">
        <v>464</v>
      </c>
      <c r="U7" s="481">
        <v>10.3</v>
      </c>
      <c r="V7">
        <v>560</v>
      </c>
      <c r="W7" s="662">
        <v>173557</v>
      </c>
      <c r="X7" t="s">
        <v>1356</v>
      </c>
    </row>
    <row r="8" spans="1:24" s="672" customFormat="1" ht="26.25" customHeight="1" x14ac:dyDescent="0.2">
      <c r="A8" s="472" t="s">
        <v>1278</v>
      </c>
      <c r="B8" s="540">
        <v>51</v>
      </c>
      <c r="C8" s="481">
        <f t="shared" si="0"/>
        <v>155.56349186104046</v>
      </c>
      <c r="D8" s="469">
        <f t="shared" si="1"/>
        <v>29.574551998768023</v>
      </c>
      <c r="E8" s="469">
        <f t="shared" si="2"/>
        <v>751.19362076870777</v>
      </c>
      <c r="F8" s="469">
        <v>2</v>
      </c>
      <c r="G8" s="469">
        <f t="shared" si="3"/>
        <v>6.6246996477240367</v>
      </c>
      <c r="H8" s="469">
        <f t="shared" si="4"/>
        <v>22.949852351043987</v>
      </c>
      <c r="I8" s="469">
        <f t="shared" si="5"/>
        <v>0.5859375</v>
      </c>
      <c r="J8" s="469">
        <f t="shared" si="6"/>
        <v>0.2890625</v>
      </c>
      <c r="K8" s="469">
        <f t="shared" si="7"/>
        <v>20.138888860545663</v>
      </c>
      <c r="P8" t="s">
        <v>1428</v>
      </c>
      <c r="Q8" t="s">
        <v>1429</v>
      </c>
      <c r="R8" t="s">
        <v>1430</v>
      </c>
      <c r="S8"/>
      <c r="T8" t="s">
        <v>398</v>
      </c>
      <c r="U8" s="481">
        <v>11.6</v>
      </c>
      <c r="V8">
        <v>610</v>
      </c>
      <c r="W8" s="662">
        <v>176475</v>
      </c>
      <c r="X8" t="s">
        <v>1357</v>
      </c>
    </row>
    <row r="9" spans="1:24" x14ac:dyDescent="0.2">
      <c r="A9" s="472" t="s">
        <v>1279</v>
      </c>
      <c r="B9" s="540">
        <v>52</v>
      </c>
      <c r="C9" s="481">
        <f t="shared" si="0"/>
        <v>164.81377845643496</v>
      </c>
      <c r="D9" s="469">
        <f t="shared" si="1"/>
        <v>28.732621912111352</v>
      </c>
      <c r="E9" s="469">
        <f t="shared" si="2"/>
        <v>729.80859656762834</v>
      </c>
      <c r="F9" s="469">
        <v>2</v>
      </c>
      <c r="G9" s="469">
        <f t="shared" si="3"/>
        <v>6.436107308312943</v>
      </c>
      <c r="H9" s="469">
        <f t="shared" si="4"/>
        <v>22.296514603798411</v>
      </c>
      <c r="I9" s="469">
        <f t="shared" si="5"/>
        <v>0.57291666666666663</v>
      </c>
      <c r="J9" s="469">
        <f t="shared" si="6"/>
        <v>0.30208333333333337</v>
      </c>
      <c r="K9" s="469">
        <f t="shared" si="7"/>
        <v>18.916533754218531</v>
      </c>
      <c r="P9" t="s">
        <v>1431</v>
      </c>
      <c r="Q9" t="s">
        <v>1432</v>
      </c>
      <c r="R9" t="s">
        <v>1433</v>
      </c>
      <c r="T9" t="s">
        <v>1251</v>
      </c>
      <c r="U9" s="481">
        <v>15.8</v>
      </c>
      <c r="V9">
        <v>870</v>
      </c>
      <c r="W9" s="662">
        <v>172459</v>
      </c>
      <c r="X9" t="s">
        <v>1358</v>
      </c>
    </row>
    <row r="10" spans="1:24" x14ac:dyDescent="0.2">
      <c r="A10" s="472" t="s">
        <v>1280</v>
      </c>
      <c r="B10" s="540">
        <v>53</v>
      </c>
      <c r="C10" s="481">
        <f t="shared" si="0"/>
        <v>174.61411571650197</v>
      </c>
      <c r="D10" s="469">
        <f t="shared" si="1"/>
        <v>27.914659940706169</v>
      </c>
      <c r="E10" s="469">
        <f t="shared" si="2"/>
        <v>709.03236249393672</v>
      </c>
      <c r="F10" s="469">
        <v>2</v>
      </c>
      <c r="G10" s="469">
        <f t="shared" si="3"/>
        <v>6.2528838267181817</v>
      </c>
      <c r="H10" s="469">
        <f t="shared" si="4"/>
        <v>21.661776113987987</v>
      </c>
      <c r="I10" s="469">
        <f t="shared" si="5"/>
        <v>0.55989583333333337</v>
      </c>
      <c r="J10" s="469">
        <f t="shared" si="6"/>
        <v>0.31510416666666663</v>
      </c>
      <c r="K10" s="469">
        <f t="shared" si="7"/>
        <v>17.762784168381042</v>
      </c>
      <c r="P10" t="s">
        <v>1434</v>
      </c>
      <c r="Q10" t="s">
        <v>1435</v>
      </c>
      <c r="R10" t="s">
        <v>1436</v>
      </c>
      <c r="T10" t="s">
        <v>378</v>
      </c>
      <c r="U10" s="481">
        <v>10.1</v>
      </c>
      <c r="V10">
        <v>590</v>
      </c>
      <c r="W10" s="662">
        <v>167438</v>
      </c>
      <c r="X10" t="s">
        <v>1359</v>
      </c>
    </row>
    <row r="11" spans="1:24" x14ac:dyDescent="0.2">
      <c r="A11" s="472" t="s">
        <v>1281</v>
      </c>
      <c r="B11" s="540">
        <v>54</v>
      </c>
      <c r="C11" s="481">
        <f t="shared" si="0"/>
        <v>184.99721135581723</v>
      </c>
      <c r="D11" s="469">
        <f t="shared" si="1"/>
        <v>27.119983758837066</v>
      </c>
      <c r="E11" s="469">
        <f t="shared" si="2"/>
        <v>688.84758747446142</v>
      </c>
      <c r="F11" s="469">
        <v>2</v>
      </c>
      <c r="G11" s="469">
        <f t="shared" si="3"/>
        <v>6.074876361979503</v>
      </c>
      <c r="H11" s="469">
        <f t="shared" si="4"/>
        <v>21.045107396857563</v>
      </c>
      <c r="I11" s="469">
        <f t="shared" si="5"/>
        <v>0.546875</v>
      </c>
      <c r="J11" s="469">
        <f t="shared" si="6"/>
        <v>0.328125</v>
      </c>
      <c r="K11" s="469">
        <f t="shared" si="7"/>
        <v>16.673789571041901</v>
      </c>
      <c r="P11" t="s">
        <v>1437</v>
      </c>
      <c r="Q11" t="s">
        <v>1438</v>
      </c>
      <c r="R11" t="s">
        <v>1438</v>
      </c>
      <c r="T11" t="s">
        <v>1360</v>
      </c>
      <c r="U11" s="481">
        <v>20</v>
      </c>
      <c r="V11">
        <v>1800</v>
      </c>
      <c r="W11" s="662">
        <v>134895</v>
      </c>
      <c r="X11" t="s">
        <v>1361</v>
      </c>
    </row>
    <row r="12" spans="1:24" x14ac:dyDescent="0.2">
      <c r="A12" s="472" t="s">
        <v>1007</v>
      </c>
      <c r="B12" s="540">
        <v>55</v>
      </c>
      <c r="C12" s="481">
        <f t="shared" si="0"/>
        <v>195.99771799087463</v>
      </c>
      <c r="D12" s="469">
        <f t="shared" si="1"/>
        <v>26.347930465277241</v>
      </c>
      <c r="E12" s="469">
        <f t="shared" si="2"/>
        <v>669.23743381804184</v>
      </c>
      <c r="F12" s="469">
        <v>2</v>
      </c>
      <c r="G12" s="469">
        <f t="shared" si="3"/>
        <v>5.901936424222102</v>
      </c>
      <c r="H12" s="469">
        <f t="shared" si="4"/>
        <v>20.44599404105514</v>
      </c>
      <c r="I12" s="469">
        <f t="shared" si="5"/>
        <v>0.53385416666666663</v>
      </c>
      <c r="J12" s="469">
        <f t="shared" si="6"/>
        <v>0.34114583333333337</v>
      </c>
      <c r="K12" s="469">
        <f t="shared" si="7"/>
        <v>15.645915543964346</v>
      </c>
      <c r="P12" t="s">
        <v>1439</v>
      </c>
      <c r="Q12" t="s">
        <v>1440</v>
      </c>
      <c r="R12" t="s">
        <v>1440</v>
      </c>
    </row>
    <row r="13" spans="1:24" x14ac:dyDescent="0.2">
      <c r="A13" s="472" t="s">
        <v>1282</v>
      </c>
      <c r="B13" s="540">
        <v>56</v>
      </c>
      <c r="C13" s="481">
        <f t="shared" si="0"/>
        <v>207.65234878997259</v>
      </c>
      <c r="D13" s="469">
        <f t="shared" si="1"/>
        <v>25.597856030311025</v>
      </c>
      <c r="E13" s="469">
        <f t="shared" si="2"/>
        <v>650.18554316990003</v>
      </c>
      <c r="F13" s="469">
        <v>2</v>
      </c>
      <c r="G13" s="469">
        <f t="shared" si="3"/>
        <v>5.7339197507896698</v>
      </c>
      <c r="H13" s="469">
        <f t="shared" si="4"/>
        <v>19.863936279521354</v>
      </c>
      <c r="I13" s="469">
        <f t="shared" si="5"/>
        <v>0.52083333333333337</v>
      </c>
      <c r="J13" s="469">
        <f t="shared" si="6"/>
        <v>0.35416666666666663</v>
      </c>
      <c r="K13" s="469">
        <f t="shared" si="7"/>
        <v>14.675731653133145</v>
      </c>
    </row>
    <row r="14" spans="1:24" ht="15.75" x14ac:dyDescent="0.25">
      <c r="A14" s="472" t="s">
        <v>500</v>
      </c>
      <c r="B14" s="540">
        <v>57</v>
      </c>
      <c r="C14" s="481">
        <f t="shared" si="0"/>
        <v>220</v>
      </c>
      <c r="D14" s="469">
        <f t="shared" si="1"/>
        <v>24.869134758498607</v>
      </c>
      <c r="E14" s="469">
        <f t="shared" si="2"/>
        <v>631.67602286586452</v>
      </c>
      <c r="F14" s="469">
        <v>2</v>
      </c>
      <c r="G14" s="469">
        <f t="shared" si="3"/>
        <v>5.5706861859036882</v>
      </c>
      <c r="H14" s="469">
        <f t="shared" si="4"/>
        <v>19.298448572594918</v>
      </c>
      <c r="I14" s="469">
        <f t="shared" si="5"/>
        <v>0.5078125</v>
      </c>
      <c r="J14" s="469">
        <f t="shared" si="6"/>
        <v>0.3671875</v>
      </c>
      <c r="K14" s="469">
        <f t="shared" si="7"/>
        <v>13.76</v>
      </c>
      <c r="P14" s="822" t="s">
        <v>1382</v>
      </c>
      <c r="Q14" s="822"/>
      <c r="R14" s="822"/>
    </row>
    <row r="15" spans="1:24" x14ac:dyDescent="0.2">
      <c r="A15" s="472" t="s">
        <v>1283</v>
      </c>
      <c r="B15" s="540">
        <v>58</v>
      </c>
      <c r="C15" s="481">
        <f t="shared" si="0"/>
        <v>233.08188075904496</v>
      </c>
      <c r="D15" s="469">
        <f t="shared" si="1"/>
        <v>24.161158766734765</v>
      </c>
      <c r="E15" s="469">
        <f t="shared" si="2"/>
        <v>613.69343267506304</v>
      </c>
      <c r="F15" s="469">
        <v>2</v>
      </c>
      <c r="G15" s="469">
        <f t="shared" si="3"/>
        <v>5.4120995637485878</v>
      </c>
      <c r="H15" s="469">
        <f t="shared" si="4"/>
        <v>18.749059202986178</v>
      </c>
      <c r="I15" s="469">
        <f t="shared" si="5"/>
        <v>0.49479166666666663</v>
      </c>
      <c r="J15" s="469">
        <f t="shared" si="6"/>
        <v>0.38020833333333337</v>
      </c>
      <c r="K15" s="469">
        <f t="shared" si="7"/>
        <v>12.895664415298079</v>
      </c>
      <c r="P15" s="472" t="s">
        <v>1383</v>
      </c>
      <c r="Q15" s="472" t="s">
        <v>1384</v>
      </c>
      <c r="R15" s="472" t="s">
        <v>2</v>
      </c>
    </row>
    <row r="16" spans="1:24" x14ac:dyDescent="0.2">
      <c r="A16" s="472" t="s">
        <v>5</v>
      </c>
      <c r="B16" s="540">
        <v>59</v>
      </c>
      <c r="C16" s="481">
        <f t="shared" si="0"/>
        <v>246.94165062806206</v>
      </c>
      <c r="D16" s="469">
        <f t="shared" si="1"/>
        <v>23.473337477166286</v>
      </c>
      <c r="E16" s="469">
        <f t="shared" si="2"/>
        <v>596.22277192002366</v>
      </c>
      <c r="F16" s="469">
        <v>2</v>
      </c>
      <c r="G16" s="469">
        <f t="shared" si="3"/>
        <v>5.258027594885248</v>
      </c>
      <c r="H16" s="469">
        <f t="shared" si="4"/>
        <v>18.215309882281037</v>
      </c>
      <c r="I16" s="469">
        <f t="shared" si="5"/>
        <v>0.48177083333333337</v>
      </c>
      <c r="J16" s="469">
        <f t="shared" si="6"/>
        <v>0.39322916666666663</v>
      </c>
      <c r="K16" s="469">
        <f t="shared" si="7"/>
        <v>12.079840259361225</v>
      </c>
      <c r="P16" s="472" t="s">
        <v>1385</v>
      </c>
      <c r="Q16" t="s">
        <v>1386</v>
      </c>
      <c r="R16" t="s">
        <v>1387</v>
      </c>
    </row>
    <row r="17" spans="1:19" x14ac:dyDescent="0.2">
      <c r="A17" s="472" t="s">
        <v>244</v>
      </c>
      <c r="B17" s="540">
        <v>60</v>
      </c>
      <c r="C17" s="481">
        <f t="shared" si="0"/>
        <v>261.62556530059862</v>
      </c>
      <c r="D17" s="469">
        <f t="shared" si="1"/>
        <v>22.80509712454505</v>
      </c>
      <c r="E17" s="469">
        <f t="shared" si="2"/>
        <v>579.24946696344421</v>
      </c>
      <c r="F17" s="469">
        <v>1.75</v>
      </c>
      <c r="G17" s="469">
        <f t="shared" si="3"/>
        <v>5.108341755898091</v>
      </c>
      <c r="H17" s="469">
        <f t="shared" si="4"/>
        <v>17.696755368646958</v>
      </c>
      <c r="I17" s="469">
        <f t="shared" si="5"/>
        <v>0.46875</v>
      </c>
      <c r="J17" s="469">
        <f t="shared" si="6"/>
        <v>0.40625</v>
      </c>
      <c r="K17" s="469">
        <f t="shared" si="7"/>
        <v>11.514804794907205</v>
      </c>
      <c r="P17" s="472" t="s">
        <v>1388</v>
      </c>
      <c r="Q17" t="s">
        <v>1389</v>
      </c>
      <c r="R17" t="s">
        <v>1390</v>
      </c>
    </row>
    <row r="18" spans="1:19" x14ac:dyDescent="0.2">
      <c r="A18" s="472" t="s">
        <v>1284</v>
      </c>
      <c r="B18" s="540">
        <v>61</v>
      </c>
      <c r="C18" s="481">
        <f t="shared" si="0"/>
        <v>277.18263097687208</v>
      </c>
      <c r="D18" s="469">
        <f t="shared" si="1"/>
        <v>22.155880277605768</v>
      </c>
      <c r="E18" s="469">
        <f t="shared" si="2"/>
        <v>562.75935905118649</v>
      </c>
      <c r="F18" s="469">
        <v>1.75</v>
      </c>
      <c r="G18" s="469">
        <f t="shared" si="3"/>
        <v>4.9629171821836922</v>
      </c>
      <c r="H18" s="469">
        <f t="shared" si="4"/>
        <v>17.192963095422076</v>
      </c>
      <c r="I18" s="469">
        <f t="shared" si="5"/>
        <v>0.45572916666666663</v>
      </c>
      <c r="J18" s="469">
        <f t="shared" si="6"/>
        <v>0.41927083333333337</v>
      </c>
      <c r="K18" s="469">
        <f t="shared" si="7"/>
        <v>10.787988100155136</v>
      </c>
      <c r="P18" s="472" t="s">
        <v>1391</v>
      </c>
      <c r="Q18" t="s">
        <v>1392</v>
      </c>
      <c r="R18" t="s">
        <v>1393</v>
      </c>
      <c r="S18" s="672"/>
    </row>
    <row r="19" spans="1:19" x14ac:dyDescent="0.2">
      <c r="A19" s="472" t="s">
        <v>24</v>
      </c>
      <c r="B19" s="540">
        <v>62</v>
      </c>
      <c r="C19" s="481">
        <f t="shared" si="0"/>
        <v>293.66476791740757</v>
      </c>
      <c r="D19" s="469">
        <f t="shared" si="1"/>
        <v>21.525145374069222</v>
      </c>
      <c r="E19" s="469">
        <f t="shared" si="2"/>
        <v>546.73869250135817</v>
      </c>
      <c r="F19" s="469">
        <v>1.75</v>
      </c>
      <c r="G19" s="469">
        <f t="shared" si="3"/>
        <v>4.8216325637915061</v>
      </c>
      <c r="H19" s="469">
        <f t="shared" si="4"/>
        <v>16.703512810277715</v>
      </c>
      <c r="I19" s="469">
        <f t="shared" si="5"/>
        <v>0.44270833333333337</v>
      </c>
      <c r="J19" s="469">
        <f t="shared" si="6"/>
        <v>0.43229166666666663</v>
      </c>
      <c r="K19" s="469">
        <f t="shared" si="7"/>
        <v>10.101964491950447</v>
      </c>
      <c r="P19" s="472" t="s">
        <v>1394</v>
      </c>
      <c r="Q19" t="s">
        <v>1395</v>
      </c>
      <c r="R19" t="s">
        <v>1396</v>
      </c>
    </row>
    <row r="20" spans="1:19" x14ac:dyDescent="0.2">
      <c r="A20" s="472" t="s">
        <v>1285</v>
      </c>
      <c r="B20" s="540">
        <v>63</v>
      </c>
      <c r="C20" s="481">
        <f t="shared" si="0"/>
        <v>311.12698372208087</v>
      </c>
      <c r="D20" s="469">
        <f t="shared" si="1"/>
        <v>20.912366268883034</v>
      </c>
      <c r="E20" s="469">
        <f t="shared" si="2"/>
        <v>531.17410322962905</v>
      </c>
      <c r="F20" s="469">
        <v>1.75</v>
      </c>
      <c r="G20" s="469">
        <f t="shared" si="3"/>
        <v>4.6843700442297997</v>
      </c>
      <c r="H20" s="469">
        <f t="shared" si="4"/>
        <v>16.227996224653236</v>
      </c>
      <c r="I20" s="469">
        <f t="shared" si="5"/>
        <v>0.4296875</v>
      </c>
      <c r="J20" s="469">
        <f t="shared" si="6"/>
        <v>0.4453125</v>
      </c>
      <c r="K20" s="469">
        <f t="shared" si="7"/>
        <v>9.454444430272833</v>
      </c>
      <c r="P20" s="472" t="s">
        <v>1397</v>
      </c>
      <c r="Q20" t="s">
        <v>1398</v>
      </c>
      <c r="R20" t="s">
        <v>1399</v>
      </c>
    </row>
    <row r="21" spans="1:19" x14ac:dyDescent="0.2">
      <c r="A21" s="472" t="s">
        <v>25</v>
      </c>
      <c r="B21" s="540">
        <v>64</v>
      </c>
      <c r="C21" s="481">
        <f t="shared" si="0"/>
        <v>329.62755691286992</v>
      </c>
      <c r="D21" s="469">
        <f t="shared" si="1"/>
        <v>20.317031795323121</v>
      </c>
      <c r="E21" s="469">
        <f t="shared" si="2"/>
        <v>516.05260760120723</v>
      </c>
      <c r="F21" s="469">
        <v>1.75</v>
      </c>
      <c r="G21" s="469">
        <f t="shared" si="3"/>
        <v>4.5510151221523794</v>
      </c>
      <c r="H21" s="469">
        <f t="shared" si="4"/>
        <v>15.766016673170743</v>
      </c>
      <c r="I21" s="469">
        <f t="shared" si="5"/>
        <v>0.41666666666666663</v>
      </c>
      <c r="J21" s="469">
        <f t="shared" si="6"/>
        <v>0.45833333333333337</v>
      </c>
      <c r="K21" s="469">
        <f t="shared" si="7"/>
        <v>8.8432668771092651</v>
      </c>
      <c r="P21" s="472" t="s">
        <v>1400</v>
      </c>
      <c r="Q21" t="s">
        <v>1401</v>
      </c>
      <c r="R21" t="s">
        <v>1402</v>
      </c>
    </row>
    <row r="22" spans="1:19" x14ac:dyDescent="0.2">
      <c r="A22" s="472" t="s">
        <v>11</v>
      </c>
      <c r="B22" s="540">
        <v>65</v>
      </c>
      <c r="C22" s="481">
        <f t="shared" si="0"/>
        <v>349.22823143300388</v>
      </c>
      <c r="D22" s="469">
        <f t="shared" si="1"/>
        <v>19.738645338589802</v>
      </c>
      <c r="E22" s="469">
        <f t="shared" si="2"/>
        <v>501.36159160018093</v>
      </c>
      <c r="F22" s="469">
        <v>1.75</v>
      </c>
      <c r="G22" s="469">
        <f t="shared" si="3"/>
        <v>4.4214565558441157</v>
      </c>
      <c r="H22" s="469">
        <f t="shared" si="4"/>
        <v>15.317188782745687</v>
      </c>
      <c r="I22" s="469">
        <f t="shared" si="5"/>
        <v>0.40364583333333337</v>
      </c>
      <c r="J22" s="469">
        <f t="shared" si="6"/>
        <v>0.47135416666666663</v>
      </c>
      <c r="K22" s="469">
        <f t="shared" si="7"/>
        <v>8.2663920841905227</v>
      </c>
      <c r="P22" s="472" t="s">
        <v>1403</v>
      </c>
      <c r="Q22" t="s">
        <v>1404</v>
      </c>
      <c r="R22" t="s">
        <v>1405</v>
      </c>
    </row>
    <row r="23" spans="1:19" x14ac:dyDescent="0.2">
      <c r="A23" s="472" t="s">
        <v>424</v>
      </c>
      <c r="B23" s="540">
        <v>66</v>
      </c>
      <c r="C23" s="481">
        <f t="shared" si="0"/>
        <v>369.99442271163446</v>
      </c>
      <c r="D23" s="469">
        <f t="shared" si="1"/>
        <v>19.176724421542723</v>
      </c>
      <c r="E23" s="469">
        <f t="shared" si="2"/>
        <v>487.08880030718512</v>
      </c>
      <c r="F23" s="469">
        <v>1.75</v>
      </c>
      <c r="G23" s="469">
        <f t="shared" si="3"/>
        <v>4.2955862704255701</v>
      </c>
      <c r="H23" s="469">
        <f t="shared" si="4"/>
        <v>14.881138151117153</v>
      </c>
      <c r="I23" s="469">
        <f t="shared" si="5"/>
        <v>0.390625</v>
      </c>
      <c r="J23" s="469">
        <f t="shared" si="6"/>
        <v>0.484375</v>
      </c>
      <c r="K23" s="469">
        <f t="shared" si="7"/>
        <v>7.7218947855209512</v>
      </c>
      <c r="P23" s="472" t="s">
        <v>1406</v>
      </c>
      <c r="Q23" t="s">
        <v>1407</v>
      </c>
      <c r="R23" t="s">
        <v>1408</v>
      </c>
    </row>
    <row r="24" spans="1:19" x14ac:dyDescent="0.2">
      <c r="A24" s="472" t="s">
        <v>27</v>
      </c>
      <c r="B24" s="540">
        <v>67</v>
      </c>
      <c r="C24" s="481">
        <f t="shared" si="0"/>
        <v>391.99543598174927</v>
      </c>
      <c r="D24" s="469">
        <f t="shared" si="1"/>
        <v>18.630800302229165</v>
      </c>
      <c r="E24" s="469">
        <f t="shared" si="2"/>
        <v>473.22232767662075</v>
      </c>
      <c r="F24" s="469">
        <v>1.75</v>
      </c>
      <c r="G24" s="469">
        <f t="shared" si="3"/>
        <v>4.173299267699333</v>
      </c>
      <c r="H24" s="469">
        <f t="shared" si="4"/>
        <v>14.457501034529832</v>
      </c>
      <c r="I24" s="469">
        <f t="shared" si="5"/>
        <v>0.37760416666666663</v>
      </c>
      <c r="J24" s="469">
        <f t="shared" si="6"/>
        <v>0.49739583333333337</v>
      </c>
      <c r="K24" s="469">
        <f t="shared" si="7"/>
        <v>7.2079577719821737</v>
      </c>
      <c r="P24" s="472" t="s">
        <v>1409</v>
      </c>
      <c r="Q24" t="s">
        <v>1410</v>
      </c>
      <c r="R24" t="e" cm="1">
        <f t="array" ref="R24">arch_depth / depth_per_pass</f>
        <v>#NAME?</v>
      </c>
    </row>
    <row r="25" spans="1:19" x14ac:dyDescent="0.2">
      <c r="A25" s="472" t="s">
        <v>1286</v>
      </c>
      <c r="B25" s="540">
        <v>68</v>
      </c>
      <c r="C25" s="481">
        <f t="shared" si="0"/>
        <v>415.30469757994513</v>
      </c>
      <c r="D25" s="469">
        <f t="shared" si="1"/>
        <v>18.100417582869884</v>
      </c>
      <c r="E25" s="469">
        <f t="shared" si="2"/>
        <v>459.75060660489504</v>
      </c>
      <c r="F25" s="469">
        <v>1.75</v>
      </c>
      <c r="G25" s="469">
        <f t="shared" si="3"/>
        <v>4.0544935385628538</v>
      </c>
      <c r="H25" s="469">
        <f t="shared" si="4"/>
        <v>14.04592404430703</v>
      </c>
      <c r="I25" s="469">
        <f t="shared" si="5"/>
        <v>0.36458333333333337</v>
      </c>
      <c r="J25" s="469">
        <f t="shared" si="6"/>
        <v>0.51041666666666663</v>
      </c>
      <c r="K25" s="469">
        <f t="shared" si="7"/>
        <v>6.7228658265665748</v>
      </c>
    </row>
    <row r="26" spans="1:19" ht="15.75" x14ac:dyDescent="0.25">
      <c r="A26" s="541" t="s">
        <v>29</v>
      </c>
      <c r="B26" s="675">
        <v>69</v>
      </c>
      <c r="C26" s="666">
        <f t="shared" si="0"/>
        <v>440</v>
      </c>
      <c r="D26" s="665">
        <f t="shared" si="1"/>
        <v>17.585133829976439</v>
      </c>
      <c r="E26" s="665">
        <f t="shared" si="2"/>
        <v>446.66239928140152</v>
      </c>
      <c r="F26" s="665">
        <v>1.75</v>
      </c>
      <c r="G26" s="665">
        <f t="shared" si="3"/>
        <v>3.9390699779147225</v>
      </c>
      <c r="H26" s="665">
        <f t="shared" si="4"/>
        <v>13.646063852061717</v>
      </c>
      <c r="I26" s="665">
        <f t="shared" si="5"/>
        <v>0.3515625</v>
      </c>
      <c r="J26" s="665">
        <f t="shared" si="6"/>
        <v>0.5234375</v>
      </c>
      <c r="K26" s="665">
        <f t="shared" si="7"/>
        <v>6.2650000000000006</v>
      </c>
      <c r="P26" s="663" t="s">
        <v>1362</v>
      </c>
    </row>
    <row r="27" spans="1:19" x14ac:dyDescent="0.2">
      <c r="A27" s="472" t="s">
        <v>1287</v>
      </c>
      <c r="B27" s="540">
        <v>70</v>
      </c>
      <c r="C27" s="481">
        <f t="shared" si="0"/>
        <v>466.16376151808993</v>
      </c>
      <c r="D27" s="469">
        <f t="shared" si="1"/>
        <v>17.084519205282952</v>
      </c>
      <c r="E27" s="469">
        <f t="shared" si="2"/>
        <v>433.94678781418696</v>
      </c>
      <c r="F27" s="469">
        <v>1.75</v>
      </c>
      <c r="G27" s="469">
        <f t="shared" si="3"/>
        <v>3.8269323019833812</v>
      </c>
      <c r="H27" s="469">
        <f t="shared" si="4"/>
        <v>13.25758690329957</v>
      </c>
      <c r="I27" s="469">
        <f t="shared" si="5"/>
        <v>0.33854166666666663</v>
      </c>
      <c r="J27" s="469">
        <f t="shared" si="6"/>
        <v>0.53645833333333337</v>
      </c>
      <c r="K27" s="469">
        <f t="shared" si="7"/>
        <v>5.83283220764904</v>
      </c>
      <c r="P27" s="472" t="s">
        <v>1263</v>
      </c>
      <c r="Q27" s="564" t="s">
        <v>1351</v>
      </c>
      <c r="R27" s="598" t="s">
        <v>1363</v>
      </c>
    </row>
    <row r="28" spans="1:19" x14ac:dyDescent="0.2">
      <c r="A28" s="472" t="s">
        <v>31</v>
      </c>
      <c r="B28" s="540">
        <v>71</v>
      </c>
      <c r="C28" s="481">
        <f t="shared" si="0"/>
        <v>493.88330125612413</v>
      </c>
      <c r="D28" s="469">
        <f t="shared" si="1"/>
        <v>16.598156107184607</v>
      </c>
      <c r="E28" s="469">
        <f t="shared" si="2"/>
        <v>421.59316512248898</v>
      </c>
      <c r="F28" s="469">
        <v>1.75</v>
      </c>
      <c r="G28" s="469">
        <f t="shared" si="3"/>
        <v>3.717986968009352</v>
      </c>
      <c r="H28" s="469">
        <f t="shared" si="4"/>
        <v>12.880169139175255</v>
      </c>
      <c r="I28" s="469">
        <f t="shared" si="5"/>
        <v>0.32552083333333337</v>
      </c>
      <c r="J28" s="469">
        <f t="shared" si="6"/>
        <v>0.54947916666666663</v>
      </c>
      <c r="K28" s="469">
        <f t="shared" si="7"/>
        <v>5.4249201296806131</v>
      </c>
      <c r="P28" s="472" t="s">
        <v>1264</v>
      </c>
      <c r="Q28" s="662">
        <f>VLOOKUP(Q27,T3:W11,4,FALSE)</f>
        <v>155502</v>
      </c>
    </row>
    <row r="29" spans="1:19" x14ac:dyDescent="0.2">
      <c r="A29" s="472" t="s">
        <v>32</v>
      </c>
      <c r="B29" s="540">
        <v>72</v>
      </c>
      <c r="C29" s="481">
        <f t="shared" si="0"/>
        <v>523.25113060119725</v>
      </c>
      <c r="D29" s="469">
        <f t="shared" si="1"/>
        <v>16.125638822383642</v>
      </c>
      <c r="E29" s="469">
        <f t="shared" si="2"/>
        <v>409.59122608854449</v>
      </c>
      <c r="F29" s="469">
        <v>1.5</v>
      </c>
      <c r="G29" s="469">
        <f t="shared" si="3"/>
        <v>3.612143096213936</v>
      </c>
      <c r="H29" s="469">
        <f t="shared" si="4"/>
        <v>12.513495726169706</v>
      </c>
      <c r="I29" s="469">
        <f t="shared" si="5"/>
        <v>0.3125</v>
      </c>
      <c r="J29" s="469">
        <f t="shared" si="6"/>
        <v>0.5625</v>
      </c>
      <c r="K29" s="469">
        <f t="shared" si="7"/>
        <v>5.2449023974536022</v>
      </c>
      <c r="P29" s="472" t="s">
        <v>1364</v>
      </c>
      <c r="Q29" s="596">
        <v>0.875</v>
      </c>
      <c r="R29" s="598" t="s">
        <v>1365</v>
      </c>
    </row>
    <row r="30" spans="1:19" s="672" customFormat="1" x14ac:dyDescent="0.2">
      <c r="A30" s="472" t="s">
        <v>1288</v>
      </c>
      <c r="B30" s="540">
        <v>73</v>
      </c>
      <c r="C30" s="481">
        <f t="shared" si="0"/>
        <v>554.36526195374415</v>
      </c>
      <c r="D30" s="469">
        <f t="shared" si="1"/>
        <v>15.666573187452325</v>
      </c>
      <c r="E30" s="469">
        <f t="shared" si="2"/>
        <v>397.93095896128904</v>
      </c>
      <c r="F30" s="469">
        <v>1.5</v>
      </c>
      <c r="G30" s="469">
        <f t="shared" si="3"/>
        <v>3.5093123939893212</v>
      </c>
      <c r="H30" s="469">
        <f t="shared" si="4"/>
        <v>12.157260793463005</v>
      </c>
      <c r="I30" s="469">
        <f t="shared" si="5"/>
        <v>0.29947916666666669</v>
      </c>
      <c r="J30" s="469">
        <f t="shared" si="6"/>
        <v>0.57552083333333326</v>
      </c>
      <c r="K30" s="469">
        <f t="shared" si="7"/>
        <v>4.8814940500775688</v>
      </c>
      <c r="P30" s="472" t="s">
        <v>1366</v>
      </c>
      <c r="Q30" s="596">
        <v>0.25</v>
      </c>
      <c r="R30" s="598" t="s">
        <v>1367</v>
      </c>
      <c r="S30"/>
    </row>
    <row r="31" spans="1:19" x14ac:dyDescent="0.2">
      <c r="A31" s="472" t="s">
        <v>34</v>
      </c>
      <c r="B31" s="540">
        <v>74</v>
      </c>
      <c r="C31" s="481">
        <f t="shared" si="0"/>
        <v>587.32953583481515</v>
      </c>
      <c r="D31" s="469">
        <f t="shared" si="1"/>
        <v>15.22057626003059</v>
      </c>
      <c r="E31" s="469">
        <f t="shared" si="2"/>
        <v>386.60263700477697</v>
      </c>
      <c r="F31" s="469">
        <v>1.5</v>
      </c>
      <c r="G31" s="469">
        <f t="shared" si="3"/>
        <v>3.4094090822468521</v>
      </c>
      <c r="H31" s="469">
        <f t="shared" si="4"/>
        <v>11.811167177783739</v>
      </c>
      <c r="I31" s="469">
        <f t="shared" si="5"/>
        <v>0.28645833333333331</v>
      </c>
      <c r="J31" s="469">
        <f t="shared" si="6"/>
        <v>0.58854166666666674</v>
      </c>
      <c r="K31" s="469">
        <f t="shared" si="7"/>
        <v>4.5384822459752243</v>
      </c>
    </row>
    <row r="32" spans="1:19" x14ac:dyDescent="0.2">
      <c r="A32" s="472" t="s">
        <v>1289</v>
      </c>
      <c r="B32" s="540">
        <v>75</v>
      </c>
      <c r="C32" s="481">
        <f t="shared" si="0"/>
        <v>622.25396744416184</v>
      </c>
      <c r="D32" s="469">
        <f t="shared" si="1"/>
        <v>14.787275999384011</v>
      </c>
      <c r="E32" s="469">
        <f t="shared" si="2"/>
        <v>375.59681038435389</v>
      </c>
      <c r="F32" s="469">
        <v>1.5</v>
      </c>
      <c r="G32" s="469">
        <f t="shared" si="3"/>
        <v>3.3123498238620184</v>
      </c>
      <c r="H32" s="469">
        <f t="shared" si="4"/>
        <v>11.474926175521993</v>
      </c>
      <c r="I32" s="469">
        <f t="shared" si="5"/>
        <v>0.2734375</v>
      </c>
      <c r="J32" s="469">
        <f t="shared" si="6"/>
        <v>0.6015625</v>
      </c>
      <c r="K32" s="469">
        <f t="shared" si="7"/>
        <v>4.2147222151364154</v>
      </c>
    </row>
    <row r="33" spans="1:11" x14ac:dyDescent="0.2">
      <c r="A33" s="472" t="s">
        <v>36</v>
      </c>
      <c r="B33" s="540">
        <v>76</v>
      </c>
      <c r="C33" s="481">
        <f t="shared" si="0"/>
        <v>659.25511382573984</v>
      </c>
      <c r="D33" s="469">
        <f t="shared" si="1"/>
        <v>14.366310956055676</v>
      </c>
      <c r="E33" s="469">
        <f t="shared" si="2"/>
        <v>364.90429828381417</v>
      </c>
      <c r="F33" s="469">
        <v>1.5</v>
      </c>
      <c r="G33" s="469">
        <f t="shared" si="3"/>
        <v>3.2180536541564715</v>
      </c>
      <c r="H33" s="469">
        <f t="shared" si="4"/>
        <v>11.148257301899205</v>
      </c>
      <c r="I33" s="469">
        <f t="shared" si="5"/>
        <v>0.26041666666666669</v>
      </c>
      <c r="J33" s="469">
        <f t="shared" si="6"/>
        <v>0.61458333333333326</v>
      </c>
      <c r="K33" s="469">
        <f t="shared" si="7"/>
        <v>3.9091334385546328</v>
      </c>
    </row>
    <row r="34" spans="1:11" x14ac:dyDescent="0.2">
      <c r="A34" s="472" t="s">
        <v>37</v>
      </c>
      <c r="B34" s="540">
        <v>77</v>
      </c>
      <c r="C34" s="481">
        <f t="shared" si="0"/>
        <v>698.45646286600777</v>
      </c>
      <c r="D34" s="469">
        <f t="shared" si="1"/>
        <v>13.957329970353086</v>
      </c>
      <c r="E34" s="469">
        <f t="shared" si="2"/>
        <v>354.51618124696836</v>
      </c>
      <c r="F34" s="469">
        <v>1.5</v>
      </c>
      <c r="G34" s="469">
        <f t="shared" si="3"/>
        <v>3.1264419133590913</v>
      </c>
      <c r="H34" s="469">
        <f t="shared" si="4"/>
        <v>10.830888056993995</v>
      </c>
      <c r="I34" s="469">
        <f t="shared" si="5"/>
        <v>0.24739583333333331</v>
      </c>
      <c r="J34" s="469">
        <f t="shared" si="6"/>
        <v>0.62760416666666674</v>
      </c>
      <c r="K34" s="469">
        <f t="shared" si="7"/>
        <v>3.6206960420952616</v>
      </c>
    </row>
    <row r="35" spans="1:11" x14ac:dyDescent="0.2">
      <c r="A35" s="472" t="s">
        <v>1290</v>
      </c>
      <c r="B35" s="540">
        <v>78</v>
      </c>
      <c r="C35" s="481">
        <f t="shared" si="0"/>
        <v>739.9888454232688</v>
      </c>
      <c r="D35" s="469">
        <f t="shared" si="1"/>
        <v>13.559991879418535</v>
      </c>
      <c r="E35" s="469">
        <f t="shared" si="2"/>
        <v>344.42379373723077</v>
      </c>
      <c r="F35" s="469">
        <v>1.5</v>
      </c>
      <c r="G35" s="469">
        <f t="shared" si="3"/>
        <v>3.0374381809897519</v>
      </c>
      <c r="H35" s="469">
        <f t="shared" si="4"/>
        <v>10.522553698428784</v>
      </c>
      <c r="I35" s="469">
        <f t="shared" si="5"/>
        <v>0.234375</v>
      </c>
      <c r="J35" s="469">
        <f t="shared" si="6"/>
        <v>0.640625</v>
      </c>
      <c r="K35" s="469">
        <f t="shared" si="7"/>
        <v>3.3484473927604763</v>
      </c>
    </row>
    <row r="36" spans="1:11" x14ac:dyDescent="0.2">
      <c r="A36" s="472" t="s">
        <v>42</v>
      </c>
      <c r="B36" s="540">
        <v>79</v>
      </c>
      <c r="C36" s="481">
        <f t="shared" si="0"/>
        <v>783.99087196349853</v>
      </c>
      <c r="D36" s="469">
        <f t="shared" si="1"/>
        <v>13.17396523263862</v>
      </c>
      <c r="E36" s="469">
        <f t="shared" si="2"/>
        <v>334.61871690902092</v>
      </c>
      <c r="F36" s="469">
        <v>1.5</v>
      </c>
      <c r="G36" s="469">
        <f t="shared" si="3"/>
        <v>2.950968212111051</v>
      </c>
      <c r="H36" s="469">
        <f t="shared" si="4"/>
        <v>10.22299702052757</v>
      </c>
      <c r="I36" s="469">
        <f t="shared" si="5"/>
        <v>0.22135416666666669</v>
      </c>
      <c r="J36" s="469">
        <f t="shared" si="6"/>
        <v>0.65364583333333326</v>
      </c>
      <c r="K36" s="469">
        <f t="shared" si="7"/>
        <v>3.0914788859910867</v>
      </c>
    </row>
    <row r="37" spans="1:11" x14ac:dyDescent="0.2">
      <c r="A37" s="472" t="s">
        <v>1291</v>
      </c>
      <c r="B37" s="540">
        <v>80</v>
      </c>
      <c r="C37" s="481">
        <f t="shared" ref="C37:C53" si="8">440*2^((B37-69)/12)</f>
        <v>830.60939515989025</v>
      </c>
      <c r="D37" s="469">
        <f t="shared" ref="D37:D53" si="9">SQRT($Q$28*$Q$29/C37)</f>
        <v>12.798928015155514</v>
      </c>
      <c r="E37" s="469">
        <f t="shared" ref="E37:E53" si="10">D37*25.4</f>
        <v>325.09277158495007</v>
      </c>
      <c r="F37" s="469">
        <v>1.5</v>
      </c>
      <c r="G37" s="469">
        <f t="shared" ref="G37:G53" si="11">D37*0.224</f>
        <v>2.8669598753948353</v>
      </c>
      <c r="H37" s="469">
        <f t="shared" ref="H37:H53" si="12">D37*0.776</f>
        <v>9.9319681397606789</v>
      </c>
      <c r="I37" s="469">
        <f t="shared" ref="I37:I53" si="13">($Q$29-$Q$30)*MIN(1,(96-B37)/48)</f>
        <v>0.20833333333333331</v>
      </c>
      <c r="J37" s="469">
        <f t="shared" ref="J37:J53" si="14">$Q$29-I37</f>
        <v>0.66666666666666674</v>
      </c>
      <c r="K37" s="469">
        <f t="shared" ref="K37:K53" si="15">13552/(4*C37)-0.82*F37</f>
        <v>2.8489329132832872</v>
      </c>
    </row>
    <row r="38" spans="1:11" x14ac:dyDescent="0.2">
      <c r="A38" s="472" t="s">
        <v>47</v>
      </c>
      <c r="B38" s="540">
        <v>81</v>
      </c>
      <c r="C38" s="481">
        <f t="shared" si="8"/>
        <v>880</v>
      </c>
      <c r="D38" s="469">
        <f t="shared" si="9"/>
        <v>12.434567379249303</v>
      </c>
      <c r="E38" s="469">
        <f t="shared" si="10"/>
        <v>315.83801143293226</v>
      </c>
      <c r="F38" s="469">
        <v>1.5</v>
      </c>
      <c r="G38" s="469">
        <f t="shared" si="11"/>
        <v>2.7853430929518441</v>
      </c>
      <c r="H38" s="469">
        <f t="shared" si="12"/>
        <v>9.6492242862974589</v>
      </c>
      <c r="I38" s="469">
        <f t="shared" si="13"/>
        <v>0.1953125</v>
      </c>
      <c r="J38" s="469">
        <f t="shared" si="14"/>
        <v>0.6796875</v>
      </c>
      <c r="K38" s="469">
        <f t="shared" si="15"/>
        <v>2.62</v>
      </c>
    </row>
    <row r="39" spans="1:11" x14ac:dyDescent="0.2">
      <c r="A39" s="472" t="s">
        <v>1292</v>
      </c>
      <c r="B39" s="540">
        <v>82</v>
      </c>
      <c r="C39" s="481">
        <f t="shared" si="8"/>
        <v>932.32752303617963</v>
      </c>
      <c r="D39" s="469">
        <f t="shared" si="9"/>
        <v>12.080579383367382</v>
      </c>
      <c r="E39" s="469">
        <f t="shared" si="10"/>
        <v>306.84671633753152</v>
      </c>
      <c r="F39" s="469">
        <v>1.5</v>
      </c>
      <c r="G39" s="469">
        <f t="shared" si="11"/>
        <v>2.7060497818742939</v>
      </c>
      <c r="H39" s="469">
        <f t="shared" si="12"/>
        <v>9.374529601493089</v>
      </c>
      <c r="I39" s="469">
        <f t="shared" si="13"/>
        <v>0.18229166666666669</v>
      </c>
      <c r="J39" s="469">
        <f t="shared" si="14"/>
        <v>0.69270833333333326</v>
      </c>
      <c r="K39" s="469">
        <f t="shared" si="15"/>
        <v>2.4039161038245207</v>
      </c>
    </row>
    <row r="40" spans="1:11" x14ac:dyDescent="0.2">
      <c r="A40" s="472" t="s">
        <v>54</v>
      </c>
      <c r="B40" s="540">
        <v>83</v>
      </c>
      <c r="C40" s="481">
        <f t="shared" si="8"/>
        <v>987.76660251224826</v>
      </c>
      <c r="D40" s="469">
        <f t="shared" si="9"/>
        <v>11.736668738583143</v>
      </c>
      <c r="E40" s="469">
        <f t="shared" si="10"/>
        <v>298.11138596001183</v>
      </c>
      <c r="F40" s="469">
        <v>1.5</v>
      </c>
      <c r="G40" s="469">
        <f t="shared" si="11"/>
        <v>2.629013797442624</v>
      </c>
      <c r="H40" s="469">
        <f t="shared" si="12"/>
        <v>9.1076549411405185</v>
      </c>
      <c r="I40" s="469">
        <f t="shared" si="13"/>
        <v>0.16927083333333331</v>
      </c>
      <c r="J40" s="469">
        <f t="shared" si="14"/>
        <v>0.70572916666666674</v>
      </c>
      <c r="K40" s="469">
        <f t="shared" si="15"/>
        <v>2.1999600648403064</v>
      </c>
    </row>
    <row r="41" spans="1:11" x14ac:dyDescent="0.2">
      <c r="A41" s="472" t="s">
        <v>55</v>
      </c>
      <c r="B41" s="540">
        <v>84</v>
      </c>
      <c r="C41" s="481">
        <f t="shared" si="8"/>
        <v>1046.5022612023945</v>
      </c>
      <c r="D41" s="469">
        <f t="shared" si="9"/>
        <v>11.402548562272525</v>
      </c>
      <c r="E41" s="469">
        <f t="shared" si="10"/>
        <v>289.6247334817221</v>
      </c>
      <c r="F41" s="469">
        <v>1.25</v>
      </c>
      <c r="G41" s="469">
        <f t="shared" si="11"/>
        <v>2.5541708779490455</v>
      </c>
      <c r="H41" s="469">
        <f t="shared" si="12"/>
        <v>8.8483776843234789</v>
      </c>
      <c r="I41" s="469">
        <f t="shared" si="13"/>
        <v>0.15625</v>
      </c>
      <c r="J41" s="469">
        <f t="shared" si="14"/>
        <v>0.71875</v>
      </c>
      <c r="K41" s="469">
        <f t="shared" si="15"/>
        <v>2.2124511987268014</v>
      </c>
    </row>
    <row r="42" spans="1:11" x14ac:dyDescent="0.2">
      <c r="A42" s="472" t="s">
        <v>1377</v>
      </c>
      <c r="B42" s="540">
        <v>85</v>
      </c>
      <c r="C42" s="481">
        <f t="shared" si="8"/>
        <v>1108.7305239074883</v>
      </c>
      <c r="D42" s="469">
        <f t="shared" si="9"/>
        <v>11.077940138802884</v>
      </c>
      <c r="E42" s="469">
        <f t="shared" si="10"/>
        <v>281.37967952559325</v>
      </c>
      <c r="F42" s="469">
        <v>1.25</v>
      </c>
      <c r="G42" s="469">
        <f t="shared" si="11"/>
        <v>2.4814585910918461</v>
      </c>
      <c r="H42" s="469">
        <f t="shared" si="12"/>
        <v>8.5964815477110381</v>
      </c>
      <c r="I42" s="469">
        <f t="shared" si="13"/>
        <v>0.14322916666666666</v>
      </c>
      <c r="J42" s="469">
        <f t="shared" si="14"/>
        <v>0.73177083333333337</v>
      </c>
      <c r="K42" s="469">
        <f t="shared" si="15"/>
        <v>2.0307470250387842</v>
      </c>
    </row>
    <row r="43" spans="1:11" x14ac:dyDescent="0.2">
      <c r="A43" s="472" t="s">
        <v>58</v>
      </c>
      <c r="B43" s="540">
        <v>86</v>
      </c>
      <c r="C43" s="481">
        <f t="shared" si="8"/>
        <v>1174.6590716696303</v>
      </c>
      <c r="D43" s="469">
        <f t="shared" si="9"/>
        <v>10.762572687034611</v>
      </c>
      <c r="E43" s="469">
        <f t="shared" si="10"/>
        <v>273.36934625067909</v>
      </c>
      <c r="F43" s="469">
        <v>1.25</v>
      </c>
      <c r="G43" s="469">
        <f t="shared" si="11"/>
        <v>2.410816281895753</v>
      </c>
      <c r="H43" s="469">
        <f t="shared" si="12"/>
        <v>8.3517564051388575</v>
      </c>
      <c r="I43" s="469">
        <f t="shared" si="13"/>
        <v>0.13020833333333334</v>
      </c>
      <c r="J43" s="469">
        <f t="shared" si="14"/>
        <v>0.74479166666666663</v>
      </c>
      <c r="K43" s="469">
        <f t="shared" si="15"/>
        <v>1.859241122987612</v>
      </c>
    </row>
    <row r="44" spans="1:11" x14ac:dyDescent="0.2">
      <c r="A44" s="472" t="s">
        <v>1378</v>
      </c>
      <c r="B44" s="540">
        <v>87</v>
      </c>
      <c r="C44" s="481">
        <f t="shared" si="8"/>
        <v>1244.5079348883235</v>
      </c>
      <c r="D44" s="469">
        <f t="shared" si="9"/>
        <v>10.456183134441517</v>
      </c>
      <c r="E44" s="469">
        <f t="shared" si="10"/>
        <v>265.58705161481453</v>
      </c>
      <c r="F44" s="469">
        <v>1.25</v>
      </c>
      <c r="G44" s="469">
        <f t="shared" si="11"/>
        <v>2.3421850221148999</v>
      </c>
      <c r="H44" s="469">
        <f t="shared" si="12"/>
        <v>8.1139981123266178</v>
      </c>
      <c r="I44" s="469">
        <f t="shared" si="13"/>
        <v>0.1171875</v>
      </c>
      <c r="J44" s="469">
        <f t="shared" si="14"/>
        <v>0.7578125</v>
      </c>
      <c r="K44" s="469">
        <f t="shared" si="15"/>
        <v>1.6973611075682085</v>
      </c>
    </row>
    <row r="45" spans="1:11" x14ac:dyDescent="0.2">
      <c r="A45" s="472" t="s">
        <v>248</v>
      </c>
      <c r="B45" s="540">
        <v>88</v>
      </c>
      <c r="C45" s="481">
        <f t="shared" si="8"/>
        <v>1318.5102276514795</v>
      </c>
      <c r="D45" s="469">
        <f t="shared" si="9"/>
        <v>10.158515897661562</v>
      </c>
      <c r="E45" s="469">
        <f t="shared" si="10"/>
        <v>258.02630380060367</v>
      </c>
      <c r="F45" s="469">
        <v>1.25</v>
      </c>
      <c r="G45" s="469">
        <f t="shared" si="11"/>
        <v>2.2755075610761901</v>
      </c>
      <c r="H45" s="469">
        <f t="shared" si="12"/>
        <v>7.8830083365853723</v>
      </c>
      <c r="I45" s="469">
        <f t="shared" si="13"/>
        <v>0.10416666666666666</v>
      </c>
      <c r="J45" s="469">
        <f t="shared" si="14"/>
        <v>0.77083333333333337</v>
      </c>
      <c r="K45" s="469">
        <f t="shared" si="15"/>
        <v>1.5445667192773169</v>
      </c>
    </row>
    <row r="46" spans="1:11" x14ac:dyDescent="0.2">
      <c r="A46" s="472" t="s">
        <v>249</v>
      </c>
      <c r="B46" s="540">
        <v>89</v>
      </c>
      <c r="C46" s="481">
        <f t="shared" si="8"/>
        <v>1396.9129257320155</v>
      </c>
      <c r="D46" s="469">
        <f t="shared" si="9"/>
        <v>9.8693226692949008</v>
      </c>
      <c r="E46" s="469">
        <f t="shared" si="10"/>
        <v>250.68079580009046</v>
      </c>
      <c r="F46" s="469">
        <v>1.25</v>
      </c>
      <c r="G46" s="469">
        <f t="shared" si="11"/>
        <v>2.2107282779220578</v>
      </c>
      <c r="H46" s="469">
        <f t="shared" si="12"/>
        <v>7.6585943913728434</v>
      </c>
      <c r="I46" s="469">
        <f t="shared" si="13"/>
        <v>9.1145833333333343E-2</v>
      </c>
      <c r="J46" s="469">
        <f t="shared" si="14"/>
        <v>0.78385416666666663</v>
      </c>
      <c r="K46" s="469">
        <f t="shared" si="15"/>
        <v>1.4003480210476309</v>
      </c>
    </row>
    <row r="47" spans="1:11" x14ac:dyDescent="0.2">
      <c r="A47" s="472" t="s">
        <v>1379</v>
      </c>
      <c r="B47" s="540">
        <v>90</v>
      </c>
      <c r="C47" s="481">
        <f t="shared" si="8"/>
        <v>1479.9776908465376</v>
      </c>
      <c r="D47" s="469">
        <f t="shared" si="9"/>
        <v>9.5883622107713631</v>
      </c>
      <c r="E47" s="469">
        <f t="shared" si="10"/>
        <v>243.54440015359262</v>
      </c>
      <c r="F47" s="469">
        <v>1.25</v>
      </c>
      <c r="G47" s="469">
        <f t="shared" si="11"/>
        <v>2.1477931352127855</v>
      </c>
      <c r="H47" s="469">
        <f t="shared" si="12"/>
        <v>7.440569075558578</v>
      </c>
      <c r="I47" s="469">
        <f t="shared" si="13"/>
        <v>7.8125E-2</v>
      </c>
      <c r="J47" s="469">
        <f t="shared" si="14"/>
        <v>0.796875</v>
      </c>
      <c r="K47" s="469">
        <f t="shared" si="15"/>
        <v>1.2642236963802382</v>
      </c>
    </row>
    <row r="48" spans="1:11" x14ac:dyDescent="0.2">
      <c r="A48" s="472" t="s">
        <v>257</v>
      </c>
      <c r="B48" s="540">
        <v>91</v>
      </c>
      <c r="C48" s="481">
        <f t="shared" si="8"/>
        <v>1567.9817439269968</v>
      </c>
      <c r="D48" s="469">
        <f t="shared" si="9"/>
        <v>9.3154001511145825</v>
      </c>
      <c r="E48" s="469">
        <f t="shared" si="10"/>
        <v>236.61116383831038</v>
      </c>
      <c r="F48" s="469">
        <v>1.25</v>
      </c>
      <c r="G48" s="469">
        <f t="shared" si="11"/>
        <v>2.0866496338496665</v>
      </c>
      <c r="H48" s="469">
        <f t="shared" si="12"/>
        <v>7.228750517264916</v>
      </c>
      <c r="I48" s="469">
        <f t="shared" si="13"/>
        <v>6.5104166666666671E-2</v>
      </c>
      <c r="J48" s="469">
        <f t="shared" si="14"/>
        <v>0.80989583333333337</v>
      </c>
      <c r="K48" s="469">
        <f t="shared" si="15"/>
        <v>1.1357394429955434</v>
      </c>
    </row>
    <row r="49" spans="1:11" x14ac:dyDescent="0.2">
      <c r="A49" s="472" t="s">
        <v>1380</v>
      </c>
      <c r="B49" s="540">
        <v>92</v>
      </c>
      <c r="C49" s="481">
        <f t="shared" si="8"/>
        <v>1661.2187903197805</v>
      </c>
      <c r="D49" s="469">
        <f t="shared" si="9"/>
        <v>9.0502087914349421</v>
      </c>
      <c r="E49" s="469">
        <f t="shared" si="10"/>
        <v>229.87530330244752</v>
      </c>
      <c r="F49" s="469">
        <v>1.25</v>
      </c>
      <c r="G49" s="469">
        <f t="shared" si="11"/>
        <v>2.0272467692814269</v>
      </c>
      <c r="H49" s="469">
        <f t="shared" si="12"/>
        <v>7.0229620221535152</v>
      </c>
      <c r="I49" s="469">
        <f t="shared" si="13"/>
        <v>5.2083333333333329E-2</v>
      </c>
      <c r="J49" s="469">
        <f t="shared" si="14"/>
        <v>0.82291666666666663</v>
      </c>
      <c r="K49" s="469">
        <f t="shared" si="15"/>
        <v>1.0144664566416437</v>
      </c>
    </row>
    <row r="50" spans="1:11" x14ac:dyDescent="0.2">
      <c r="A50" s="472" t="s">
        <v>261</v>
      </c>
      <c r="B50" s="540">
        <v>93</v>
      </c>
      <c r="C50" s="481">
        <f t="shared" si="8"/>
        <v>1760</v>
      </c>
      <c r="D50" s="469">
        <f t="shared" si="9"/>
        <v>8.7925669149882193</v>
      </c>
      <c r="E50" s="469">
        <f t="shared" si="10"/>
        <v>223.33119964070076</v>
      </c>
      <c r="F50" s="469">
        <v>1.25</v>
      </c>
      <c r="G50" s="469">
        <f t="shared" si="11"/>
        <v>1.9695349889573612</v>
      </c>
      <c r="H50" s="469">
        <f t="shared" si="12"/>
        <v>6.8230319260308585</v>
      </c>
      <c r="I50" s="469">
        <f t="shared" si="13"/>
        <v>3.90625E-2</v>
      </c>
      <c r="J50" s="469">
        <f t="shared" si="14"/>
        <v>0.8359375</v>
      </c>
      <c r="K50" s="469">
        <f t="shared" si="15"/>
        <v>0.90000000000000013</v>
      </c>
    </row>
    <row r="51" spans="1:11" x14ac:dyDescent="0.2">
      <c r="A51" s="472" t="s">
        <v>1381</v>
      </c>
      <c r="B51" s="540">
        <v>94</v>
      </c>
      <c r="C51" s="481">
        <f t="shared" si="8"/>
        <v>1864.6550460723597</v>
      </c>
      <c r="D51" s="469">
        <f t="shared" si="9"/>
        <v>8.5422596026414759</v>
      </c>
      <c r="E51" s="469">
        <f t="shared" si="10"/>
        <v>216.97339390709348</v>
      </c>
      <c r="F51" s="469">
        <v>1.25</v>
      </c>
      <c r="G51" s="469">
        <f t="shared" si="11"/>
        <v>1.9134661509916906</v>
      </c>
      <c r="H51" s="469">
        <f t="shared" si="12"/>
        <v>6.6287934516497851</v>
      </c>
      <c r="I51" s="469">
        <f t="shared" si="13"/>
        <v>2.6041666666666664E-2</v>
      </c>
      <c r="J51" s="469">
        <f t="shared" si="14"/>
        <v>0.84895833333333337</v>
      </c>
      <c r="K51" s="469">
        <f t="shared" si="15"/>
        <v>0.79195805191225999</v>
      </c>
    </row>
    <row r="52" spans="1:11" x14ac:dyDescent="0.2">
      <c r="A52" s="472" t="s">
        <v>266</v>
      </c>
      <c r="B52" s="540">
        <v>95</v>
      </c>
      <c r="C52" s="481">
        <f t="shared" si="8"/>
        <v>1975.5332050244961</v>
      </c>
      <c r="D52" s="469">
        <f t="shared" si="9"/>
        <v>8.2990780535923037</v>
      </c>
      <c r="E52" s="469">
        <f t="shared" si="10"/>
        <v>210.79658256124449</v>
      </c>
      <c r="F52" s="469">
        <v>1.25</v>
      </c>
      <c r="G52" s="469">
        <f t="shared" si="11"/>
        <v>1.858993484004676</v>
      </c>
      <c r="H52" s="469">
        <f t="shared" si="12"/>
        <v>6.4400845695876274</v>
      </c>
      <c r="I52" s="469">
        <f t="shared" si="13"/>
        <v>1.3020833333333332E-2</v>
      </c>
      <c r="J52" s="469">
        <f t="shared" si="14"/>
        <v>0.86197916666666663</v>
      </c>
      <c r="K52" s="469">
        <f t="shared" si="15"/>
        <v>0.68998003242015349</v>
      </c>
    </row>
    <row r="53" spans="1:11" x14ac:dyDescent="0.2">
      <c r="A53" s="472" t="s">
        <v>267</v>
      </c>
      <c r="B53" s="540">
        <v>96</v>
      </c>
      <c r="C53" s="481">
        <f t="shared" si="8"/>
        <v>2093.004522404789</v>
      </c>
      <c r="D53" s="469">
        <f t="shared" si="9"/>
        <v>8.0628194111918212</v>
      </c>
      <c r="E53" s="469">
        <f t="shared" si="10"/>
        <v>204.79561304427224</v>
      </c>
      <c r="F53" s="469">
        <v>1.25</v>
      </c>
      <c r="G53" s="469">
        <f t="shared" si="11"/>
        <v>1.806071548106968</v>
      </c>
      <c r="H53" s="469">
        <f t="shared" si="12"/>
        <v>6.2567478630848532</v>
      </c>
      <c r="I53" s="469">
        <f t="shared" si="13"/>
        <v>0</v>
      </c>
      <c r="J53" s="469">
        <f t="shared" si="14"/>
        <v>0.875</v>
      </c>
      <c r="K53" s="469">
        <f t="shared" si="15"/>
        <v>0.59372559936340075</v>
      </c>
    </row>
    <row r="56" spans="1:11" ht="18" x14ac:dyDescent="0.25">
      <c r="A56" s="833" t="s">
        <v>6322</v>
      </c>
    </row>
    <row r="57" spans="1:11" x14ac:dyDescent="0.2">
      <c r="A57" s="734" t="s">
        <v>6323</v>
      </c>
    </row>
    <row r="59" spans="1:11" x14ac:dyDescent="0.2">
      <c r="A59" s="609" t="s">
        <v>6324</v>
      </c>
    </row>
    <row r="60" spans="1:11" x14ac:dyDescent="0.2">
      <c r="A60" t="s">
        <v>6325</v>
      </c>
    </row>
    <row r="61" spans="1:11" x14ac:dyDescent="0.2">
      <c r="A61" t="s">
        <v>6326</v>
      </c>
    </row>
    <row r="62" spans="1:11" x14ac:dyDescent="0.2">
      <c r="A62" t="s">
        <v>6327</v>
      </c>
    </row>
    <row r="64" spans="1:11" x14ac:dyDescent="0.2">
      <c r="A64" s="609" t="s">
        <v>6328</v>
      </c>
    </row>
    <row r="65" spans="1:1" x14ac:dyDescent="0.2">
      <c r="A65" t="s">
        <v>6329</v>
      </c>
    </row>
    <row r="66" spans="1:1" x14ac:dyDescent="0.2">
      <c r="A66" t="s">
        <v>6330</v>
      </c>
    </row>
    <row r="67" spans="1:1" x14ac:dyDescent="0.2">
      <c r="A67" t="s">
        <v>6331</v>
      </c>
    </row>
    <row r="68" spans="1:1" x14ac:dyDescent="0.2">
      <c r="A68" t="s">
        <v>6332</v>
      </c>
    </row>
    <row r="69" spans="1:1" x14ac:dyDescent="0.2">
      <c r="A69" t="s">
        <v>6333</v>
      </c>
    </row>
    <row r="70" spans="1:1" x14ac:dyDescent="0.2">
      <c r="A70" t="s">
        <v>6334</v>
      </c>
    </row>
    <row r="72" spans="1:1" x14ac:dyDescent="0.2">
      <c r="A72" s="609" t="s">
        <v>6287</v>
      </c>
    </row>
    <row r="73" spans="1:1" x14ac:dyDescent="0.2">
      <c r="A73" t="s">
        <v>6335</v>
      </c>
    </row>
    <row r="74" spans="1:1" x14ac:dyDescent="0.2">
      <c r="A74" t="s">
        <v>6336</v>
      </c>
    </row>
    <row r="75" spans="1:1" x14ac:dyDescent="0.2">
      <c r="A75" t="s">
        <v>6337</v>
      </c>
    </row>
    <row r="76" spans="1:1" x14ac:dyDescent="0.2">
      <c r="A76" t="s">
        <v>6338</v>
      </c>
    </row>
    <row r="78" spans="1:1" x14ac:dyDescent="0.2">
      <c r="A78" s="609" t="s">
        <v>6294</v>
      </c>
    </row>
    <row r="79" spans="1:1" x14ac:dyDescent="0.2">
      <c r="A79" t="s">
        <v>6339</v>
      </c>
    </row>
    <row r="80" spans="1:1" x14ac:dyDescent="0.2">
      <c r="A80" t="s">
        <v>6340</v>
      </c>
    </row>
    <row r="81" spans="1:1" x14ac:dyDescent="0.2">
      <c r="A81" t="s">
        <v>6341</v>
      </c>
    </row>
    <row r="82" spans="1:1" x14ac:dyDescent="0.2">
      <c r="A82" t="s">
        <v>6342</v>
      </c>
    </row>
    <row r="84" spans="1:1" x14ac:dyDescent="0.2">
      <c r="A84" s="609" t="s">
        <v>6343</v>
      </c>
    </row>
    <row r="85" spans="1:1" x14ac:dyDescent="0.2">
      <c r="A85" t="s">
        <v>6344</v>
      </c>
    </row>
    <row r="86" spans="1:1" x14ac:dyDescent="0.2">
      <c r="A86" t="s">
        <v>6345</v>
      </c>
    </row>
    <row r="87" spans="1:1" x14ac:dyDescent="0.2">
      <c r="A87" t="s">
        <v>6346</v>
      </c>
    </row>
    <row r="88" spans="1:1" x14ac:dyDescent="0.2">
      <c r="A88" t="s">
        <v>6347</v>
      </c>
    </row>
    <row r="89" spans="1:1" x14ac:dyDescent="0.2">
      <c r="A89" t="s">
        <v>6348</v>
      </c>
    </row>
    <row r="91" spans="1:1" x14ac:dyDescent="0.2">
      <c r="A91" s="609" t="s">
        <v>6349</v>
      </c>
    </row>
    <row r="92" spans="1:1" x14ac:dyDescent="0.2">
      <c r="A92" t="s">
        <v>6350</v>
      </c>
    </row>
    <row r="93" spans="1:1" x14ac:dyDescent="0.2">
      <c r="A93" t="s">
        <v>6351</v>
      </c>
    </row>
    <row r="94" spans="1:1" x14ac:dyDescent="0.2">
      <c r="A94" t="s">
        <v>6352</v>
      </c>
    </row>
    <row r="97" spans="1:1" ht="18" x14ac:dyDescent="0.25">
      <c r="A97" s="838" t="s">
        <v>7140</v>
      </c>
    </row>
    <row r="98" spans="1:1" x14ac:dyDescent="0.2">
      <c r="A98" s="734" t="s">
        <v>7131</v>
      </c>
    </row>
    <row r="100" spans="1:1" x14ac:dyDescent="0.2">
      <c r="A100" s="839" t="s">
        <v>7132</v>
      </c>
    </row>
    <row r="101" spans="1:1" x14ac:dyDescent="0.2">
      <c r="A101" t="s">
        <v>7141</v>
      </c>
    </row>
    <row r="102" spans="1:1" x14ac:dyDescent="0.2">
      <c r="A102" t="s">
        <v>7142</v>
      </c>
    </row>
    <row r="103" spans="1:1" x14ac:dyDescent="0.2">
      <c r="A103" t="s">
        <v>7143</v>
      </c>
    </row>
    <row r="104" spans="1:1" x14ac:dyDescent="0.2">
      <c r="A104" t="s">
        <v>7144</v>
      </c>
    </row>
    <row r="105" spans="1:1" x14ac:dyDescent="0.2">
      <c r="A105" t="s">
        <v>7145</v>
      </c>
    </row>
    <row r="106" spans="1:1" x14ac:dyDescent="0.2">
      <c r="A106" t="s">
        <v>7146</v>
      </c>
    </row>
  </sheetData>
  <mergeCells count="2">
    <mergeCell ref="P14:R14"/>
    <mergeCell ref="P1:R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336C5-FBF6-4867-98A3-80B242F390D1}">
  <dimension ref="A1:J115"/>
  <sheetViews>
    <sheetView workbookViewId="0">
      <pane xSplit="3" ySplit="17" topLeftCell="D18" activePane="bottomRight" state="frozen"/>
      <selection pane="topRight" activeCell="D1" sqref="D1"/>
      <selection pane="bottomLeft" activeCell="A18" sqref="A18"/>
      <selection pane="bottomRight"/>
    </sheetView>
  </sheetViews>
  <sheetFormatPr defaultRowHeight="12.75" x14ac:dyDescent="0.2"/>
  <cols>
    <col min="1" max="1" width="137.140625" customWidth="1"/>
    <col min="2" max="2" width="22.85546875" customWidth="1"/>
    <col min="3" max="3" width="15.28515625" customWidth="1"/>
    <col min="4" max="4" width="17.140625" customWidth="1"/>
    <col min="5" max="5" width="15.28515625" customWidth="1"/>
    <col min="6" max="8" width="17.140625" customWidth="1"/>
    <col min="9" max="9" width="15.28515625" customWidth="1"/>
    <col min="10" max="10" width="17.140625" customWidth="1"/>
  </cols>
  <sheetData>
    <row r="1" spans="1:10" ht="18" x14ac:dyDescent="0.25">
      <c r="A1" s="470" t="s">
        <v>1441</v>
      </c>
    </row>
    <row r="2" spans="1:10" x14ac:dyDescent="0.2">
      <c r="A2" s="537" t="s">
        <v>1442</v>
      </c>
    </row>
    <row r="4" spans="1:10" ht="15.75" x14ac:dyDescent="0.25">
      <c r="A4" s="660" t="s">
        <v>1443</v>
      </c>
    </row>
    <row r="5" spans="1:10" x14ac:dyDescent="0.2">
      <c r="A5" s="472" t="s">
        <v>1444</v>
      </c>
      <c r="B5" s="564" t="s">
        <v>1248</v>
      </c>
      <c r="C5" s="598" t="s">
        <v>1445</v>
      </c>
    </row>
    <row r="6" spans="1:10" x14ac:dyDescent="0.2">
      <c r="A6" s="472" t="s">
        <v>1446</v>
      </c>
      <c r="B6" s="662">
        <f>VLOOKUP(B5,'Tongue Drum'!A6:D14,4,FALSE)</f>
        <v>24438</v>
      </c>
      <c r="C6" s="598" t="s">
        <v>1447</v>
      </c>
    </row>
    <row r="7" spans="1:10" x14ac:dyDescent="0.2">
      <c r="A7" s="472" t="s">
        <v>1265</v>
      </c>
      <c r="B7" s="596">
        <v>0.375</v>
      </c>
      <c r="C7" s="598" t="s">
        <v>1448</v>
      </c>
    </row>
    <row r="8" spans="1:10" x14ac:dyDescent="0.2">
      <c r="A8" s="472" t="s">
        <v>1266</v>
      </c>
      <c r="B8" s="596">
        <v>0.875</v>
      </c>
      <c r="C8" s="598" t="s">
        <v>1449</v>
      </c>
    </row>
    <row r="9" spans="1:10" x14ac:dyDescent="0.2">
      <c r="A9" s="472" t="s">
        <v>1450</v>
      </c>
      <c r="B9" s="596">
        <v>0.125</v>
      </c>
      <c r="C9" s="598" t="s">
        <v>1451</v>
      </c>
    </row>
    <row r="10" spans="1:10" x14ac:dyDescent="0.2">
      <c r="A10" s="472" t="s">
        <v>1452</v>
      </c>
      <c r="B10" s="564" t="s">
        <v>398</v>
      </c>
    </row>
    <row r="11" spans="1:10" x14ac:dyDescent="0.2">
      <c r="A11" s="472" t="s">
        <v>1453</v>
      </c>
      <c r="B11" s="565">
        <v>2.5</v>
      </c>
      <c r="C11" s="598" t="s">
        <v>1454</v>
      </c>
    </row>
    <row r="12" spans="1:10" x14ac:dyDescent="0.2">
      <c r="A12" s="472" t="s">
        <v>1455</v>
      </c>
      <c r="B12" s="596">
        <v>0.25</v>
      </c>
      <c r="C12" s="598" t="s">
        <v>1456</v>
      </c>
    </row>
    <row r="13" spans="1:10" x14ac:dyDescent="0.2">
      <c r="A13" s="472" t="s">
        <v>1457</v>
      </c>
      <c r="B13" s="679">
        <v>13552</v>
      </c>
      <c r="C13" s="598" t="s">
        <v>1458</v>
      </c>
    </row>
    <row r="15" spans="1:10" ht="15.75" x14ac:dyDescent="0.25">
      <c r="A15" s="663" t="s">
        <v>1459</v>
      </c>
    </row>
    <row r="16" spans="1:10" x14ac:dyDescent="0.2">
      <c r="A16" s="486" t="s">
        <v>785</v>
      </c>
      <c r="B16" s="486" t="s">
        <v>1272</v>
      </c>
      <c r="C16" s="664" t="s">
        <v>1368</v>
      </c>
      <c r="D16" s="680" t="s">
        <v>1460</v>
      </c>
      <c r="E16" s="643"/>
      <c r="F16" s="681" t="s">
        <v>1461</v>
      </c>
      <c r="G16" s="608"/>
      <c r="H16" s="608"/>
      <c r="I16" s="608"/>
      <c r="J16" s="683" t="s">
        <v>1462</v>
      </c>
    </row>
    <row r="17" spans="1:10" x14ac:dyDescent="0.2">
      <c r="D17" s="684" t="s">
        <v>1297</v>
      </c>
      <c r="E17" s="684" t="s">
        <v>1463</v>
      </c>
      <c r="F17" s="685" t="s">
        <v>1464</v>
      </c>
      <c r="G17" s="685" t="s">
        <v>1465</v>
      </c>
      <c r="H17" s="685" t="s">
        <v>1466</v>
      </c>
      <c r="I17" s="685" t="s">
        <v>1467</v>
      </c>
      <c r="J17" s="686" t="s">
        <v>1468</v>
      </c>
    </row>
    <row r="18" spans="1:10" x14ac:dyDescent="0.2">
      <c r="A18" s="472" t="s">
        <v>1003</v>
      </c>
      <c r="B18">
        <v>48</v>
      </c>
      <c r="C18" s="469">
        <f t="shared" ref="C18:C42" si="0">440*2^((B18-69)/12)</f>
        <v>130.81278265029931</v>
      </c>
      <c r="D18" s="613">
        <f t="shared" ref="D18:D42" si="1">SQRT($B$6*$B$7/C18)</f>
        <v>8.3699597986917986</v>
      </c>
      <c r="E18" s="613">
        <f t="shared" ref="E18:E42" si="2">$B$8+2*$B$9</f>
        <v>1.125</v>
      </c>
      <c r="F18" s="687">
        <f t="shared" ref="F18:F42" si="3">$B$13/(4*C18)</f>
        <v>25.899609589814411</v>
      </c>
      <c r="G18" s="687">
        <f t="shared" ref="G18:G42" si="4">MIN(D18, 2*SQRT(($B$9*$B$8)/(C18^2*$B$7*(2*PI()/$B$13)^2*PI()*H18)))</f>
        <v>6.6985459364338222</v>
      </c>
      <c r="H18" s="687">
        <f t="shared" ref="H18:H42" si="5">MIN($B$11-$B$12, F18)</f>
        <v>2.25</v>
      </c>
      <c r="I18" s="687">
        <f t="shared" ref="I18:I42" si="6">$B$9</f>
        <v>0.125</v>
      </c>
      <c r="J18" s="688" t="str">
        <f t="shared" ref="J18:J42" si="7">IF(G18&gt;=D18,"⚠ Too wide",IF(ABS(($B$13/(2*PI()))*SQRT(($B$9*$B$8)/(PI()*(G18/2)^2*H18*$B$7))/C18-1)&lt;0.2,"✓ Coupled","⚠ Adjust"))</f>
        <v>✓ Coupled</v>
      </c>
    </row>
    <row r="19" spans="1:10" x14ac:dyDescent="0.2">
      <c r="A19" t="s">
        <v>1276</v>
      </c>
      <c r="B19">
        <v>49</v>
      </c>
      <c r="C19" s="469">
        <f t="shared" si="0"/>
        <v>138.59131548843604</v>
      </c>
      <c r="D19" s="613">
        <f t="shared" si="1"/>
        <v>8.1316832906006873</v>
      </c>
      <c r="E19" s="613">
        <f t="shared" si="2"/>
        <v>1.125</v>
      </c>
      <c r="F19" s="687">
        <f t="shared" si="3"/>
        <v>24.445976200310273</v>
      </c>
      <c r="G19" s="687">
        <f t="shared" si="4"/>
        <v>6.3225854417182248</v>
      </c>
      <c r="H19" s="687">
        <f t="shared" si="5"/>
        <v>2.25</v>
      </c>
      <c r="I19" s="687">
        <f t="shared" si="6"/>
        <v>0.125</v>
      </c>
      <c r="J19" s="688" t="str">
        <f t="shared" si="7"/>
        <v>✓ Coupled</v>
      </c>
    </row>
    <row r="20" spans="1:10" x14ac:dyDescent="0.2">
      <c r="A20" t="s">
        <v>1277</v>
      </c>
      <c r="B20">
        <v>50</v>
      </c>
      <c r="C20" s="469">
        <f t="shared" si="0"/>
        <v>146.83238395870382</v>
      </c>
      <c r="D20" s="613">
        <f t="shared" si="1"/>
        <v>7.9001900521636257</v>
      </c>
      <c r="E20" s="613">
        <f t="shared" si="2"/>
        <v>1.125</v>
      </c>
      <c r="F20" s="687">
        <f t="shared" si="3"/>
        <v>23.073928983900888</v>
      </c>
      <c r="G20" s="687">
        <f t="shared" si="4"/>
        <v>5.9677259881730693</v>
      </c>
      <c r="H20" s="687">
        <f t="shared" si="5"/>
        <v>2.25</v>
      </c>
      <c r="I20" s="687">
        <f t="shared" si="6"/>
        <v>0.125</v>
      </c>
      <c r="J20" s="688" t="str">
        <f t="shared" si="7"/>
        <v>✓ Coupled</v>
      </c>
    </row>
    <row r="21" spans="1:10" x14ac:dyDescent="0.2">
      <c r="A21" t="s">
        <v>1278</v>
      </c>
      <c r="B21">
        <v>51</v>
      </c>
      <c r="C21" s="469">
        <f t="shared" si="0"/>
        <v>155.56349186104046</v>
      </c>
      <c r="D21" s="613">
        <f t="shared" si="1"/>
        <v>7.6752869768609351</v>
      </c>
      <c r="E21" s="613">
        <f t="shared" si="2"/>
        <v>1.125</v>
      </c>
      <c r="F21" s="687">
        <f t="shared" si="3"/>
        <v>21.778888860545663</v>
      </c>
      <c r="G21" s="687">
        <f t="shared" si="4"/>
        <v>5.6327832653595378</v>
      </c>
      <c r="H21" s="687">
        <f t="shared" si="5"/>
        <v>2.25</v>
      </c>
      <c r="I21" s="687">
        <f t="shared" si="6"/>
        <v>0.125</v>
      </c>
      <c r="J21" s="688" t="str">
        <f t="shared" si="7"/>
        <v>✓ Coupled</v>
      </c>
    </row>
    <row r="22" spans="1:10" x14ac:dyDescent="0.2">
      <c r="A22" t="s">
        <v>1279</v>
      </c>
      <c r="B22">
        <v>52</v>
      </c>
      <c r="C22" s="469">
        <f t="shared" si="0"/>
        <v>164.81377845643496</v>
      </c>
      <c r="D22" s="613">
        <f t="shared" si="1"/>
        <v>7.456786455540696</v>
      </c>
      <c r="E22" s="613">
        <f t="shared" si="2"/>
        <v>1.125</v>
      </c>
      <c r="F22" s="687">
        <f t="shared" si="3"/>
        <v>20.556533754218531</v>
      </c>
      <c r="G22" s="687">
        <f t="shared" si="4"/>
        <v>5.3166394330761779</v>
      </c>
      <c r="H22" s="687">
        <f t="shared" si="5"/>
        <v>2.25</v>
      </c>
      <c r="I22" s="687">
        <f t="shared" si="6"/>
        <v>0.125</v>
      </c>
      <c r="J22" s="688" t="str">
        <f t="shared" si="7"/>
        <v>✓ Coupled</v>
      </c>
    </row>
    <row r="23" spans="1:10" x14ac:dyDescent="0.2">
      <c r="A23" t="s">
        <v>1280</v>
      </c>
      <c r="B23">
        <v>53</v>
      </c>
      <c r="C23" s="469">
        <f t="shared" si="0"/>
        <v>174.61411571650197</v>
      </c>
      <c r="D23" s="613">
        <f t="shared" si="1"/>
        <v>7.2445062199193675</v>
      </c>
      <c r="E23" s="613">
        <f t="shared" si="2"/>
        <v>1.125</v>
      </c>
      <c r="F23" s="687">
        <f t="shared" si="3"/>
        <v>19.402784168381043</v>
      </c>
      <c r="G23" s="687">
        <f t="shared" si="4"/>
        <v>5.018239390671166</v>
      </c>
      <c r="H23" s="687">
        <f t="shared" si="5"/>
        <v>2.25</v>
      </c>
      <c r="I23" s="687">
        <f t="shared" si="6"/>
        <v>0.125</v>
      </c>
      <c r="J23" s="688" t="str">
        <f t="shared" si="7"/>
        <v>✓ Coupled</v>
      </c>
    </row>
    <row r="24" spans="1:10" x14ac:dyDescent="0.2">
      <c r="A24" t="s">
        <v>1281</v>
      </c>
      <c r="B24">
        <v>54</v>
      </c>
      <c r="C24" s="469">
        <f t="shared" si="0"/>
        <v>184.99721135581723</v>
      </c>
      <c r="D24" s="613">
        <f t="shared" si="1"/>
        <v>7.0382691905376351</v>
      </c>
      <c r="E24" s="613">
        <f t="shared" si="2"/>
        <v>1.125</v>
      </c>
      <c r="F24" s="687">
        <f t="shared" si="3"/>
        <v>18.313789571041902</v>
      </c>
      <c r="G24" s="687">
        <f t="shared" si="4"/>
        <v>4.7365872557419468</v>
      </c>
      <c r="H24" s="687">
        <f t="shared" si="5"/>
        <v>2.25</v>
      </c>
      <c r="I24" s="687">
        <f t="shared" si="6"/>
        <v>0.125</v>
      </c>
      <c r="J24" s="688" t="str">
        <f t="shared" si="7"/>
        <v>✓ Coupled</v>
      </c>
    </row>
    <row r="25" spans="1:10" x14ac:dyDescent="0.2">
      <c r="A25" t="s">
        <v>1007</v>
      </c>
      <c r="B25">
        <v>55</v>
      </c>
      <c r="C25" s="469">
        <f t="shared" si="0"/>
        <v>195.99771799087463</v>
      </c>
      <c r="D25" s="613">
        <f t="shared" si="1"/>
        <v>6.8379033290446474</v>
      </c>
      <c r="E25" s="613">
        <f t="shared" si="2"/>
        <v>1.125</v>
      </c>
      <c r="F25" s="687">
        <f t="shared" si="3"/>
        <v>17.285915543964347</v>
      </c>
      <c r="G25" s="687">
        <f t="shared" si="4"/>
        <v>4.4707430404702997</v>
      </c>
      <c r="H25" s="687">
        <f t="shared" si="5"/>
        <v>2.25</v>
      </c>
      <c r="I25" s="687">
        <f t="shared" si="6"/>
        <v>0.125</v>
      </c>
      <c r="J25" s="688" t="str">
        <f t="shared" si="7"/>
        <v>✓ Coupled</v>
      </c>
    </row>
    <row r="26" spans="1:10" x14ac:dyDescent="0.2">
      <c r="A26" t="s">
        <v>1282</v>
      </c>
      <c r="B26">
        <v>56</v>
      </c>
      <c r="C26" s="469">
        <f t="shared" si="0"/>
        <v>207.65234878997259</v>
      </c>
      <c r="D26" s="613">
        <f t="shared" si="1"/>
        <v>6.643241494687449</v>
      </c>
      <c r="E26" s="613">
        <f t="shared" si="2"/>
        <v>1.125</v>
      </c>
      <c r="F26" s="687">
        <f t="shared" si="3"/>
        <v>16.315731653133145</v>
      </c>
      <c r="G26" s="687">
        <f t="shared" si="4"/>
        <v>4.2198195145003679</v>
      </c>
      <c r="H26" s="687">
        <f t="shared" si="5"/>
        <v>2.25</v>
      </c>
      <c r="I26" s="687">
        <f t="shared" si="6"/>
        <v>0.125</v>
      </c>
      <c r="J26" s="688" t="str">
        <f t="shared" si="7"/>
        <v>✓ Coupled</v>
      </c>
    </row>
    <row r="27" spans="1:10" x14ac:dyDescent="0.2">
      <c r="A27" t="s">
        <v>500</v>
      </c>
      <c r="B27">
        <v>57</v>
      </c>
      <c r="C27" s="469">
        <f t="shared" si="0"/>
        <v>220</v>
      </c>
      <c r="D27" s="613">
        <f t="shared" si="1"/>
        <v>6.4541213048858808</v>
      </c>
      <c r="E27" s="613">
        <f t="shared" si="2"/>
        <v>1.125</v>
      </c>
      <c r="F27" s="687">
        <f t="shared" si="3"/>
        <v>15.4</v>
      </c>
      <c r="G27" s="687">
        <f t="shared" si="4"/>
        <v>3.982979243889833</v>
      </c>
      <c r="H27" s="687">
        <f t="shared" si="5"/>
        <v>2.25</v>
      </c>
      <c r="I27" s="687">
        <f t="shared" si="6"/>
        <v>0.125</v>
      </c>
      <c r="J27" s="688" t="str">
        <f t="shared" si="7"/>
        <v>✓ Coupled</v>
      </c>
    </row>
    <row r="28" spans="1:10" x14ac:dyDescent="0.2">
      <c r="A28" t="s">
        <v>1283</v>
      </c>
      <c r="B28">
        <v>58</v>
      </c>
      <c r="C28" s="469">
        <f t="shared" si="0"/>
        <v>233.08188075904496</v>
      </c>
      <c r="D28" s="613">
        <f t="shared" si="1"/>
        <v>6.2703849997766232</v>
      </c>
      <c r="E28" s="613">
        <f t="shared" si="2"/>
        <v>1.125</v>
      </c>
      <c r="F28" s="687">
        <f t="shared" si="3"/>
        <v>14.535664415298079</v>
      </c>
      <c r="G28" s="687">
        <f t="shared" si="4"/>
        <v>3.7594317962519672</v>
      </c>
      <c r="H28" s="687">
        <f t="shared" si="5"/>
        <v>2.25</v>
      </c>
      <c r="I28" s="687">
        <f t="shared" si="6"/>
        <v>0.125</v>
      </c>
      <c r="J28" s="688" t="str">
        <f t="shared" si="7"/>
        <v>✓ Coupled</v>
      </c>
    </row>
    <row r="29" spans="1:10" x14ac:dyDescent="0.2">
      <c r="A29" t="s">
        <v>5</v>
      </c>
      <c r="B29">
        <v>59</v>
      </c>
      <c r="C29" s="469">
        <f t="shared" si="0"/>
        <v>246.94165062806206</v>
      </c>
      <c r="D29" s="613">
        <f t="shared" si="1"/>
        <v>6.091879310613435</v>
      </c>
      <c r="E29" s="613">
        <f t="shared" si="2"/>
        <v>1.125</v>
      </c>
      <c r="F29" s="687">
        <f t="shared" si="3"/>
        <v>13.719840259361225</v>
      </c>
      <c r="G29" s="687">
        <f t="shared" si="4"/>
        <v>3.5484311027610302</v>
      </c>
      <c r="H29" s="687">
        <f t="shared" si="5"/>
        <v>2.25</v>
      </c>
      <c r="I29" s="687">
        <f t="shared" si="6"/>
        <v>0.125</v>
      </c>
      <c r="J29" s="688" t="str">
        <f t="shared" si="7"/>
        <v>✓ Coupled</v>
      </c>
    </row>
    <row r="30" spans="1:10" x14ac:dyDescent="0.2">
      <c r="A30" s="472" t="s">
        <v>244</v>
      </c>
      <c r="B30">
        <v>60</v>
      </c>
      <c r="C30" s="469">
        <f t="shared" si="0"/>
        <v>261.62556530059862</v>
      </c>
      <c r="D30" s="613">
        <f t="shared" si="1"/>
        <v>5.9184553319137612</v>
      </c>
      <c r="E30" s="613">
        <f t="shared" si="2"/>
        <v>1.125</v>
      </c>
      <c r="F30" s="687">
        <f t="shared" si="3"/>
        <v>12.949804794907205</v>
      </c>
      <c r="G30" s="687">
        <f t="shared" si="4"/>
        <v>3.3492729682169111</v>
      </c>
      <c r="H30" s="687">
        <f t="shared" si="5"/>
        <v>2.25</v>
      </c>
      <c r="I30" s="687">
        <f t="shared" si="6"/>
        <v>0.125</v>
      </c>
      <c r="J30" s="688" t="str">
        <f t="shared" si="7"/>
        <v>✓ Coupled</v>
      </c>
    </row>
    <row r="31" spans="1:10" x14ac:dyDescent="0.2">
      <c r="A31" t="s">
        <v>1284</v>
      </c>
      <c r="B31">
        <v>61</v>
      </c>
      <c r="C31" s="469">
        <f t="shared" si="0"/>
        <v>277.18263097687208</v>
      </c>
      <c r="D31" s="613">
        <f t="shared" si="1"/>
        <v>5.7499683972450848</v>
      </c>
      <c r="E31" s="613">
        <f t="shared" si="2"/>
        <v>1.125</v>
      </c>
      <c r="F31" s="687">
        <f t="shared" si="3"/>
        <v>12.222988100155137</v>
      </c>
      <c r="G31" s="687">
        <f t="shared" si="4"/>
        <v>3.1612927208591124</v>
      </c>
      <c r="H31" s="687">
        <f t="shared" si="5"/>
        <v>2.25</v>
      </c>
      <c r="I31" s="687">
        <f t="shared" si="6"/>
        <v>0.125</v>
      </c>
      <c r="J31" s="688" t="str">
        <f t="shared" si="7"/>
        <v>✓ Coupled</v>
      </c>
    </row>
    <row r="32" spans="1:10" x14ac:dyDescent="0.2">
      <c r="A32" t="s">
        <v>24</v>
      </c>
      <c r="B32">
        <v>62</v>
      </c>
      <c r="C32" s="469">
        <f t="shared" si="0"/>
        <v>293.66476791740757</v>
      </c>
      <c r="D32" s="613">
        <f t="shared" si="1"/>
        <v>5.5862779585474049</v>
      </c>
      <c r="E32" s="613">
        <f t="shared" si="2"/>
        <v>1.125</v>
      </c>
      <c r="F32" s="687">
        <f t="shared" si="3"/>
        <v>11.536964491950448</v>
      </c>
      <c r="G32" s="687">
        <f t="shared" si="4"/>
        <v>2.9838629940865355</v>
      </c>
      <c r="H32" s="687">
        <f t="shared" si="5"/>
        <v>2.25</v>
      </c>
      <c r="I32" s="687">
        <f t="shared" si="6"/>
        <v>0.125</v>
      </c>
      <c r="J32" s="688" t="str">
        <f t="shared" si="7"/>
        <v>✓ Coupled</v>
      </c>
    </row>
    <row r="33" spans="1:10" x14ac:dyDescent="0.2">
      <c r="A33" t="s">
        <v>1285</v>
      </c>
      <c r="B33">
        <v>63</v>
      </c>
      <c r="C33" s="469">
        <f t="shared" si="0"/>
        <v>311.12698372208087</v>
      </c>
      <c r="D33" s="613">
        <f t="shared" si="1"/>
        <v>5.4272474688911636</v>
      </c>
      <c r="E33" s="613">
        <f t="shared" si="2"/>
        <v>1.125</v>
      </c>
      <c r="F33" s="687">
        <f t="shared" si="3"/>
        <v>10.889444430272833</v>
      </c>
      <c r="G33" s="687">
        <f t="shared" si="4"/>
        <v>2.8163916326797693</v>
      </c>
      <c r="H33" s="687">
        <f t="shared" si="5"/>
        <v>2.25</v>
      </c>
      <c r="I33" s="687">
        <f t="shared" si="6"/>
        <v>0.125</v>
      </c>
      <c r="J33" s="688" t="str">
        <f t="shared" si="7"/>
        <v>✓ Coupled</v>
      </c>
    </row>
    <row r="34" spans="1:10" x14ac:dyDescent="0.2">
      <c r="A34" t="s">
        <v>25</v>
      </c>
      <c r="B34">
        <v>64</v>
      </c>
      <c r="C34" s="469">
        <f t="shared" si="0"/>
        <v>329.62755691286992</v>
      </c>
      <c r="D34" s="613">
        <f t="shared" si="1"/>
        <v>5.2727442685728256</v>
      </c>
      <c r="E34" s="613">
        <f t="shared" si="2"/>
        <v>1.125</v>
      </c>
      <c r="F34" s="687">
        <f t="shared" si="3"/>
        <v>10.278266877109266</v>
      </c>
      <c r="G34" s="687">
        <f t="shared" si="4"/>
        <v>2.658319716538089</v>
      </c>
      <c r="H34" s="687">
        <f t="shared" si="5"/>
        <v>2.25</v>
      </c>
      <c r="I34" s="687">
        <f t="shared" si="6"/>
        <v>0.125</v>
      </c>
      <c r="J34" s="688" t="str">
        <f t="shared" si="7"/>
        <v>✓ Coupled</v>
      </c>
    </row>
    <row r="35" spans="1:10" x14ac:dyDescent="0.2">
      <c r="A35" t="s">
        <v>11</v>
      </c>
      <c r="B35">
        <v>65</v>
      </c>
      <c r="C35" s="469">
        <f t="shared" si="0"/>
        <v>349.22823143300388</v>
      </c>
      <c r="D35" s="613">
        <f t="shared" si="1"/>
        <v>5.1226394744531074</v>
      </c>
      <c r="E35" s="613">
        <f t="shared" si="2"/>
        <v>1.125</v>
      </c>
      <c r="F35" s="687">
        <f t="shared" si="3"/>
        <v>9.7013920841905232</v>
      </c>
      <c r="G35" s="687">
        <f t="shared" si="4"/>
        <v>2.5091196953355834</v>
      </c>
      <c r="H35" s="687">
        <f t="shared" si="5"/>
        <v>2.25</v>
      </c>
      <c r="I35" s="687">
        <f t="shared" si="6"/>
        <v>0.125</v>
      </c>
      <c r="J35" s="688" t="str">
        <f t="shared" si="7"/>
        <v>✓ Coupled</v>
      </c>
    </row>
    <row r="36" spans="1:10" x14ac:dyDescent="0.2">
      <c r="A36" t="s">
        <v>424</v>
      </c>
      <c r="B36">
        <v>66</v>
      </c>
      <c r="C36" s="469">
        <f t="shared" si="0"/>
        <v>369.99442271163446</v>
      </c>
      <c r="D36" s="613">
        <f t="shared" si="1"/>
        <v>4.976807872445514</v>
      </c>
      <c r="E36" s="613">
        <f t="shared" si="2"/>
        <v>1.125</v>
      </c>
      <c r="F36" s="687">
        <f t="shared" si="3"/>
        <v>9.1568947855209508</v>
      </c>
      <c r="G36" s="687">
        <f t="shared" si="4"/>
        <v>2.3682936278709734</v>
      </c>
      <c r="H36" s="687">
        <f t="shared" si="5"/>
        <v>2.25</v>
      </c>
      <c r="I36" s="687">
        <f t="shared" si="6"/>
        <v>0.125</v>
      </c>
      <c r="J36" s="688" t="str">
        <f t="shared" si="7"/>
        <v>✓ Coupled</v>
      </c>
    </row>
    <row r="37" spans="1:10" x14ac:dyDescent="0.2">
      <c r="A37" t="s">
        <v>27</v>
      </c>
      <c r="B37">
        <v>67</v>
      </c>
      <c r="C37" s="469">
        <f t="shared" si="0"/>
        <v>391.99543598174927</v>
      </c>
      <c r="D37" s="613">
        <f t="shared" si="1"/>
        <v>4.8351278130655384</v>
      </c>
      <c r="E37" s="613">
        <f t="shared" si="2"/>
        <v>1.125</v>
      </c>
      <c r="F37" s="687">
        <f t="shared" si="3"/>
        <v>8.6429577719821733</v>
      </c>
      <c r="G37" s="687">
        <f t="shared" si="4"/>
        <v>2.2353715202351498</v>
      </c>
      <c r="H37" s="687">
        <f t="shared" si="5"/>
        <v>2.25</v>
      </c>
      <c r="I37" s="687">
        <f t="shared" si="6"/>
        <v>0.125</v>
      </c>
      <c r="J37" s="688" t="str">
        <f t="shared" si="7"/>
        <v>✓ Coupled</v>
      </c>
    </row>
    <row r="38" spans="1:10" x14ac:dyDescent="0.2">
      <c r="A38" t="s">
        <v>1286</v>
      </c>
      <c r="B38">
        <v>68</v>
      </c>
      <c r="C38" s="469">
        <f t="shared" si="0"/>
        <v>415.30469757994513</v>
      </c>
      <c r="D38" s="613">
        <f t="shared" si="1"/>
        <v>4.697481109953352</v>
      </c>
      <c r="E38" s="613">
        <f t="shared" si="2"/>
        <v>1.125</v>
      </c>
      <c r="F38" s="687">
        <f t="shared" si="3"/>
        <v>8.1578658265665744</v>
      </c>
      <c r="G38" s="687">
        <f t="shared" si="4"/>
        <v>2.1099097572501844</v>
      </c>
      <c r="H38" s="687">
        <f t="shared" si="5"/>
        <v>2.25</v>
      </c>
      <c r="I38" s="687">
        <f t="shared" si="6"/>
        <v>0.125</v>
      </c>
      <c r="J38" s="688" t="str">
        <f t="shared" si="7"/>
        <v>✓ Coupled</v>
      </c>
    </row>
    <row r="39" spans="1:10" x14ac:dyDescent="0.2">
      <c r="A39" s="551" t="s">
        <v>29</v>
      </c>
      <c r="B39" s="551">
        <v>69</v>
      </c>
      <c r="C39" s="665">
        <f t="shared" si="0"/>
        <v>440</v>
      </c>
      <c r="D39" s="552">
        <f t="shared" si="1"/>
        <v>4.563752941285375</v>
      </c>
      <c r="E39" s="552">
        <f t="shared" si="2"/>
        <v>1.125</v>
      </c>
      <c r="F39" s="552">
        <f t="shared" si="3"/>
        <v>7.7</v>
      </c>
      <c r="G39" s="552">
        <f t="shared" si="4"/>
        <v>1.9914896219449165</v>
      </c>
      <c r="H39" s="552">
        <f t="shared" si="5"/>
        <v>2.25</v>
      </c>
      <c r="I39" s="552">
        <f t="shared" si="6"/>
        <v>0.125</v>
      </c>
      <c r="J39" s="551" t="str">
        <f t="shared" si="7"/>
        <v>✓ Coupled</v>
      </c>
    </row>
    <row r="40" spans="1:10" x14ac:dyDescent="0.2">
      <c r="A40" t="s">
        <v>1287</v>
      </c>
      <c r="B40">
        <v>70</v>
      </c>
      <c r="C40" s="469">
        <f t="shared" si="0"/>
        <v>466.16376151808993</v>
      </c>
      <c r="D40" s="613">
        <f t="shared" si="1"/>
        <v>4.4338317539924583</v>
      </c>
      <c r="E40" s="613">
        <f t="shared" si="2"/>
        <v>1.125</v>
      </c>
      <c r="F40" s="687">
        <f t="shared" si="3"/>
        <v>7.2678322076490396</v>
      </c>
      <c r="G40" s="687">
        <f t="shared" si="4"/>
        <v>1.8797158981259836</v>
      </c>
      <c r="H40" s="687">
        <f t="shared" si="5"/>
        <v>2.25</v>
      </c>
      <c r="I40" s="687">
        <f t="shared" si="6"/>
        <v>0.125</v>
      </c>
      <c r="J40" s="688" t="str">
        <f t="shared" si="7"/>
        <v>✓ Coupled</v>
      </c>
    </row>
    <row r="41" spans="1:10" x14ac:dyDescent="0.2">
      <c r="A41" t="s">
        <v>31</v>
      </c>
      <c r="B41">
        <v>71</v>
      </c>
      <c r="C41" s="469">
        <f t="shared" si="0"/>
        <v>493.88330125612413</v>
      </c>
      <c r="D41" s="613">
        <f t="shared" si="1"/>
        <v>4.3076091707047901</v>
      </c>
      <c r="E41" s="613">
        <f t="shared" si="2"/>
        <v>1.125</v>
      </c>
      <c r="F41" s="687">
        <f t="shared" si="3"/>
        <v>6.8599201296806127</v>
      </c>
      <c r="G41" s="687">
        <f t="shared" si="4"/>
        <v>1.7742155513805151</v>
      </c>
      <c r="H41" s="687">
        <f t="shared" si="5"/>
        <v>2.25</v>
      </c>
      <c r="I41" s="687">
        <f t="shared" si="6"/>
        <v>0.125</v>
      </c>
      <c r="J41" s="688" t="str">
        <f t="shared" si="7"/>
        <v>✓ Coupled</v>
      </c>
    </row>
    <row r="42" spans="1:10" x14ac:dyDescent="0.2">
      <c r="A42" s="472" t="s">
        <v>32</v>
      </c>
      <c r="B42">
        <v>72</v>
      </c>
      <c r="C42" s="469">
        <f t="shared" si="0"/>
        <v>523.25113060119725</v>
      </c>
      <c r="D42" s="613">
        <f t="shared" si="1"/>
        <v>4.1849798993458993</v>
      </c>
      <c r="E42" s="613">
        <f t="shared" si="2"/>
        <v>1.125</v>
      </c>
      <c r="F42" s="687">
        <f t="shared" si="3"/>
        <v>6.4749023974536026</v>
      </c>
      <c r="G42" s="687">
        <f t="shared" si="4"/>
        <v>1.6746364841084556</v>
      </c>
      <c r="H42" s="687">
        <f t="shared" si="5"/>
        <v>2.25</v>
      </c>
      <c r="I42" s="687">
        <f t="shared" si="6"/>
        <v>0.125</v>
      </c>
      <c r="J42" s="688" t="str">
        <f t="shared" si="7"/>
        <v>✓ Coupled</v>
      </c>
    </row>
    <row r="44" spans="1:10" ht="15.75" x14ac:dyDescent="0.25">
      <c r="A44" s="667" t="s">
        <v>1469</v>
      </c>
    </row>
    <row r="45" spans="1:10" x14ac:dyDescent="0.2">
      <c r="A45" s="682" t="s">
        <v>1470</v>
      </c>
      <c r="B45" s="682" t="s">
        <v>1471</v>
      </c>
      <c r="C45" s="682" t="s">
        <v>1414</v>
      </c>
      <c r="D45" s="682" t="s">
        <v>994</v>
      </c>
      <c r="E45" s="682" t="s">
        <v>1487</v>
      </c>
      <c r="F45" s="682" t="s">
        <v>1472</v>
      </c>
      <c r="G45" s="682" t="s">
        <v>1473</v>
      </c>
      <c r="H45" s="682" t="s">
        <v>1488</v>
      </c>
    </row>
    <row r="46" spans="1:10" x14ac:dyDescent="0.2">
      <c r="A46" s="472" t="s">
        <v>1474</v>
      </c>
      <c r="B46">
        <v>5</v>
      </c>
      <c r="C46" t="s">
        <v>1489</v>
      </c>
      <c r="D46" t="s">
        <v>1475</v>
      </c>
      <c r="E46" t="s">
        <v>1490</v>
      </c>
      <c r="F46" t="s">
        <v>1491</v>
      </c>
      <c r="G46" t="s">
        <v>398</v>
      </c>
      <c r="H46" s="476" t="s">
        <v>1476</v>
      </c>
    </row>
    <row r="47" spans="1:10" x14ac:dyDescent="0.2">
      <c r="A47" s="472" t="s">
        <v>1477</v>
      </c>
      <c r="B47">
        <v>8</v>
      </c>
      <c r="C47" t="s">
        <v>1492</v>
      </c>
      <c r="D47" t="s">
        <v>1478</v>
      </c>
      <c r="E47" t="s">
        <v>1493</v>
      </c>
      <c r="F47" t="s">
        <v>1491</v>
      </c>
      <c r="G47" t="s">
        <v>398</v>
      </c>
      <c r="H47" s="476" t="s">
        <v>1494</v>
      </c>
    </row>
    <row r="48" spans="1:10" x14ac:dyDescent="0.2">
      <c r="A48" s="472" t="s">
        <v>1479</v>
      </c>
      <c r="B48">
        <v>13</v>
      </c>
      <c r="C48" t="s">
        <v>1495</v>
      </c>
      <c r="D48" t="s">
        <v>1480</v>
      </c>
      <c r="E48" t="s">
        <v>1496</v>
      </c>
      <c r="F48" t="s">
        <v>1497</v>
      </c>
      <c r="G48" t="s">
        <v>386</v>
      </c>
      <c r="H48" s="476" t="s">
        <v>1498</v>
      </c>
    </row>
    <row r="49" spans="1:8" x14ac:dyDescent="0.2">
      <c r="A49" s="472" t="s">
        <v>1481</v>
      </c>
      <c r="B49">
        <v>18</v>
      </c>
      <c r="C49" t="s">
        <v>1499</v>
      </c>
      <c r="D49" t="s">
        <v>1500</v>
      </c>
      <c r="E49" t="s">
        <v>1501</v>
      </c>
      <c r="F49" t="s">
        <v>1497</v>
      </c>
      <c r="G49" t="s">
        <v>386</v>
      </c>
      <c r="H49" s="476" t="s">
        <v>1502</v>
      </c>
    </row>
    <row r="50" spans="1:8" x14ac:dyDescent="0.2">
      <c r="A50" s="472" t="s">
        <v>1482</v>
      </c>
      <c r="B50">
        <v>8</v>
      </c>
      <c r="C50" t="s">
        <v>1495</v>
      </c>
      <c r="D50" t="s">
        <v>1503</v>
      </c>
      <c r="E50" t="s">
        <v>1504</v>
      </c>
      <c r="F50" t="s">
        <v>1505</v>
      </c>
      <c r="G50" t="s">
        <v>398</v>
      </c>
      <c r="H50" s="476" t="s">
        <v>1506</v>
      </c>
    </row>
    <row r="52" spans="1:8" ht="15.75" x14ac:dyDescent="0.25">
      <c r="A52" s="668" t="s">
        <v>1483</v>
      </c>
    </row>
    <row r="53" spans="1:8" ht="15" x14ac:dyDescent="0.25">
      <c r="A53" s="601" t="s">
        <v>1507</v>
      </c>
    </row>
    <row r="54" spans="1:8" x14ac:dyDescent="0.2">
      <c r="A54" t="s">
        <v>1484</v>
      </c>
      <c r="B54" t="s">
        <v>1508</v>
      </c>
    </row>
    <row r="55" spans="1:8" x14ac:dyDescent="0.2">
      <c r="A55" t="s">
        <v>1400</v>
      </c>
      <c r="B55" t="s">
        <v>1485</v>
      </c>
    </row>
    <row r="56" spans="1:8" x14ac:dyDescent="0.2">
      <c r="A56" t="s">
        <v>1486</v>
      </c>
      <c r="B56" t="s">
        <v>1509</v>
      </c>
    </row>
    <row r="57" spans="1:8" x14ac:dyDescent="0.2">
      <c r="A57" t="s">
        <v>1510</v>
      </c>
      <c r="B57">
        <f>B7</f>
        <v>0.375</v>
      </c>
      <c r="C57" s="690" t="s">
        <v>1511</v>
      </c>
    </row>
    <row r="58" spans="1:8" x14ac:dyDescent="0.2">
      <c r="A58" t="s">
        <v>1512</v>
      </c>
      <c r="B58">
        <f>CEILING(B7/0.0625,1)</f>
        <v>6</v>
      </c>
    </row>
    <row r="59" spans="1:8" x14ac:dyDescent="0.2">
      <c r="A59" t="s">
        <v>1513</v>
      </c>
      <c r="B59" t="s">
        <v>1514</v>
      </c>
    </row>
    <row r="61" spans="1:8" x14ac:dyDescent="0.2">
      <c r="A61" s="609" t="s">
        <v>1515</v>
      </c>
    </row>
    <row r="62" spans="1:8" x14ac:dyDescent="0.2">
      <c r="A62" t="s">
        <v>1484</v>
      </c>
      <c r="B62" t="s">
        <v>1516</v>
      </c>
    </row>
    <row r="63" spans="1:8" x14ac:dyDescent="0.2">
      <c r="A63" t="s">
        <v>1400</v>
      </c>
      <c r="B63" t="s">
        <v>1517</v>
      </c>
    </row>
    <row r="64" spans="1:8" x14ac:dyDescent="0.2">
      <c r="A64" t="s">
        <v>1486</v>
      </c>
      <c r="B64" t="s">
        <v>1518</v>
      </c>
    </row>
    <row r="65" spans="1:3" x14ac:dyDescent="0.2">
      <c r="A65" t="s">
        <v>1519</v>
      </c>
      <c r="B65" s="482">
        <f>B11-B12</f>
        <v>2.25</v>
      </c>
      <c r="C65" s="690" t="s">
        <v>1520</v>
      </c>
    </row>
    <row r="66" spans="1:3" x14ac:dyDescent="0.2">
      <c r="A66" t="s">
        <v>1521</v>
      </c>
      <c r="B66">
        <f>CEILING((B11-B12)/0.125,1)</f>
        <v>18</v>
      </c>
    </row>
    <row r="67" spans="1:3" x14ac:dyDescent="0.2">
      <c r="A67" t="s">
        <v>1513</v>
      </c>
      <c r="B67" t="s">
        <v>1522</v>
      </c>
    </row>
    <row r="68" spans="1:3" x14ac:dyDescent="0.2">
      <c r="A68" t="s">
        <v>1394</v>
      </c>
      <c r="B68" t="s">
        <v>1523</v>
      </c>
    </row>
    <row r="70" spans="1:3" x14ac:dyDescent="0.2">
      <c r="A70" s="609" t="s">
        <v>1524</v>
      </c>
    </row>
    <row r="71" spans="1:3" x14ac:dyDescent="0.2">
      <c r="A71" t="s">
        <v>1484</v>
      </c>
      <c r="B71" t="s">
        <v>1525</v>
      </c>
    </row>
    <row r="72" spans="1:3" x14ac:dyDescent="0.2">
      <c r="A72" t="s">
        <v>1526</v>
      </c>
      <c r="B72" t="s">
        <v>1527</v>
      </c>
    </row>
    <row r="73" spans="1:3" x14ac:dyDescent="0.2">
      <c r="A73" t="s">
        <v>1528</v>
      </c>
      <c r="B73">
        <f>B12</f>
        <v>0.25</v>
      </c>
      <c r="C73" s="690" t="s">
        <v>1529</v>
      </c>
    </row>
    <row r="74" spans="1:3" x14ac:dyDescent="0.2">
      <c r="A74" t="s">
        <v>1530</v>
      </c>
      <c r="B74" s="691" t="s">
        <v>1531</v>
      </c>
    </row>
    <row r="76" spans="1:3" ht="15.75" x14ac:dyDescent="0.25">
      <c r="A76" s="692" t="s">
        <v>1532</v>
      </c>
    </row>
    <row r="77" spans="1:3" x14ac:dyDescent="0.2">
      <c r="A77" t="s">
        <v>1533</v>
      </c>
    </row>
    <row r="78" spans="1:3" x14ac:dyDescent="0.2">
      <c r="A78" t="s">
        <v>1534</v>
      </c>
    </row>
    <row r="79" spans="1:3" x14ac:dyDescent="0.2">
      <c r="A79" t="s">
        <v>1535</v>
      </c>
    </row>
    <row r="80" spans="1:3" x14ac:dyDescent="0.2">
      <c r="A80" t="s">
        <v>1536</v>
      </c>
    </row>
    <row r="81" spans="1:1" x14ac:dyDescent="0.2">
      <c r="A81" t="s">
        <v>1537</v>
      </c>
    </row>
    <row r="82" spans="1:1" x14ac:dyDescent="0.2">
      <c r="A82" t="s">
        <v>1538</v>
      </c>
    </row>
    <row r="85" spans="1:1" ht="18" x14ac:dyDescent="0.25">
      <c r="A85" s="833" t="s">
        <v>6784</v>
      </c>
    </row>
    <row r="86" spans="1:1" ht="18.75" x14ac:dyDescent="0.3">
      <c r="A86" s="844" t="s">
        <v>7277</v>
      </c>
    </row>
    <row r="87" spans="1:1" x14ac:dyDescent="0.2">
      <c r="A87" s="734" t="s">
        <v>7278</v>
      </c>
    </row>
    <row r="88" spans="1:1" x14ac:dyDescent="0.2">
      <c r="A88" s="609" t="s">
        <v>6355</v>
      </c>
    </row>
    <row r="89" spans="1:1" x14ac:dyDescent="0.2">
      <c r="A89" s="839" t="s">
        <v>7279</v>
      </c>
    </row>
    <row r="90" spans="1:1" x14ac:dyDescent="0.2">
      <c r="A90" s="842" t="s">
        <v>7280</v>
      </c>
    </row>
    <row r="91" spans="1:1" x14ac:dyDescent="0.2">
      <c r="A91" t="s">
        <v>7281</v>
      </c>
    </row>
    <row r="92" spans="1:1" x14ac:dyDescent="0.2">
      <c r="A92" t="s">
        <v>7282</v>
      </c>
    </row>
    <row r="93" spans="1:1" x14ac:dyDescent="0.2">
      <c r="A93" s="609" t="s">
        <v>6359</v>
      </c>
    </row>
    <row r="94" spans="1:1" x14ac:dyDescent="0.2">
      <c r="A94" s="839" t="s">
        <v>7283</v>
      </c>
    </row>
    <row r="95" spans="1:1" x14ac:dyDescent="0.2">
      <c r="A95" s="842" t="s">
        <v>7284</v>
      </c>
    </row>
    <row r="96" spans="1:1" x14ac:dyDescent="0.2">
      <c r="A96" t="s">
        <v>7285</v>
      </c>
    </row>
    <row r="97" spans="1:1" x14ac:dyDescent="0.2">
      <c r="A97" t="s">
        <v>6785</v>
      </c>
    </row>
    <row r="98" spans="1:1" x14ac:dyDescent="0.2">
      <c r="A98" s="839" t="s">
        <v>7247</v>
      </c>
    </row>
    <row r="99" spans="1:1" x14ac:dyDescent="0.2">
      <c r="A99" s="609" t="s">
        <v>7286</v>
      </c>
    </row>
    <row r="100" spans="1:1" x14ac:dyDescent="0.2">
      <c r="A100" t="s">
        <v>6786</v>
      </c>
    </row>
    <row r="101" spans="1:1" x14ac:dyDescent="0.2">
      <c r="A101" s="839" t="s">
        <v>7259</v>
      </c>
    </row>
    <row r="102" spans="1:1" x14ac:dyDescent="0.2">
      <c r="A102" s="842" t="s">
        <v>7287</v>
      </c>
    </row>
    <row r="103" spans="1:1" x14ac:dyDescent="0.2">
      <c r="A103" t="s">
        <v>7288</v>
      </c>
    </row>
    <row r="104" spans="1:1" x14ac:dyDescent="0.2">
      <c r="A104" s="609" t="s">
        <v>6658</v>
      </c>
    </row>
    <row r="105" spans="1:1" x14ac:dyDescent="0.2">
      <c r="A105" s="839" t="s">
        <v>7289</v>
      </c>
    </row>
    <row r="106" spans="1:1" x14ac:dyDescent="0.2">
      <c r="A106" s="842" t="s">
        <v>7290</v>
      </c>
    </row>
    <row r="107" spans="1:1" x14ac:dyDescent="0.2">
      <c r="A107" t="s">
        <v>7291</v>
      </c>
    </row>
    <row r="108" spans="1:1" x14ac:dyDescent="0.2">
      <c r="A108" s="609" t="s">
        <v>6661</v>
      </c>
    </row>
    <row r="109" spans="1:1" x14ac:dyDescent="0.2">
      <c r="A109" t="s">
        <v>6780</v>
      </c>
    </row>
    <row r="110" spans="1:1" x14ac:dyDescent="0.2">
      <c r="A110" t="s">
        <v>6787</v>
      </c>
    </row>
    <row r="111" spans="1:1" x14ac:dyDescent="0.2">
      <c r="A111" t="s">
        <v>6788</v>
      </c>
    </row>
    <row r="112" spans="1:1" x14ac:dyDescent="0.2">
      <c r="A112" t="s">
        <v>6789</v>
      </c>
    </row>
    <row r="114" spans="1:1" x14ac:dyDescent="0.2">
      <c r="A114" s="609" t="s">
        <v>6682</v>
      </c>
    </row>
    <row r="115" spans="1:1" x14ac:dyDescent="0.2">
      <c r="A115" t="s">
        <v>6790</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4D164-18C8-4165-8E46-243B03ACEEFD}">
  <dimension ref="A1:H119"/>
  <sheetViews>
    <sheetView workbookViewId="0">
      <pane ySplit="6" topLeftCell="A7" activePane="bottomLeft" state="frozen"/>
      <selection pane="bottomLeft"/>
    </sheetView>
  </sheetViews>
  <sheetFormatPr defaultRowHeight="12.75" x14ac:dyDescent="0.2"/>
  <cols>
    <col min="1" max="1" width="137.140625" customWidth="1"/>
    <col min="2" max="2" width="17.140625" customWidth="1"/>
    <col min="3" max="3" width="47.5703125" customWidth="1"/>
    <col min="4" max="4" width="26.7109375" customWidth="1"/>
    <col min="5" max="6" width="43.85546875" customWidth="1"/>
    <col min="7" max="7" width="9.5703125" customWidth="1"/>
    <col min="8" max="8" width="15.28515625" customWidth="1"/>
  </cols>
  <sheetData>
    <row r="1" spans="1:8" ht="18" x14ac:dyDescent="0.25">
      <c r="A1" s="470" t="s">
        <v>1539</v>
      </c>
    </row>
    <row r="2" spans="1:8" x14ac:dyDescent="0.2">
      <c r="A2" s="537" t="s">
        <v>1540</v>
      </c>
    </row>
    <row r="4" spans="1:8" ht="15.75" x14ac:dyDescent="0.25">
      <c r="A4" s="660" t="s">
        <v>1541</v>
      </c>
      <c r="B4" s="693" t="s">
        <v>1542</v>
      </c>
    </row>
    <row r="5" spans="1:8" ht="15" x14ac:dyDescent="0.25">
      <c r="A5" s="602" t="s">
        <v>1543</v>
      </c>
    </row>
    <row r="6" spans="1:8" x14ac:dyDescent="0.2">
      <c r="A6" s="484" t="s">
        <v>610</v>
      </c>
      <c r="B6" s="484" t="s">
        <v>1544</v>
      </c>
      <c r="C6" s="484" t="s">
        <v>1545</v>
      </c>
      <c r="D6" s="484" t="s">
        <v>1546</v>
      </c>
      <c r="E6" s="484" t="s">
        <v>1547</v>
      </c>
      <c r="F6" s="484" t="s">
        <v>1188</v>
      </c>
      <c r="G6" s="484" t="s">
        <v>1548</v>
      </c>
      <c r="H6" s="484" t="s">
        <v>1549</v>
      </c>
    </row>
    <row r="7" spans="1:8" x14ac:dyDescent="0.2">
      <c r="A7">
        <v>1</v>
      </c>
      <c r="B7" t="s">
        <v>613</v>
      </c>
      <c r="C7" t="s">
        <v>1550</v>
      </c>
      <c r="D7">
        <v>1</v>
      </c>
      <c r="E7" s="564" t="s">
        <v>1551</v>
      </c>
      <c r="F7" s="564" t="s">
        <v>1552</v>
      </c>
      <c r="H7" s="694"/>
    </row>
    <row r="8" spans="1:8" x14ac:dyDescent="0.2">
      <c r="A8">
        <v>2</v>
      </c>
      <c r="B8" t="s">
        <v>613</v>
      </c>
      <c r="C8" t="s">
        <v>1553</v>
      </c>
      <c r="D8">
        <v>1</v>
      </c>
      <c r="E8" t="s">
        <v>1554</v>
      </c>
      <c r="F8" t="s">
        <v>1555</v>
      </c>
      <c r="G8" t="s">
        <v>1556</v>
      </c>
    </row>
    <row r="9" spans="1:8" x14ac:dyDescent="0.2">
      <c r="A9">
        <v>3</v>
      </c>
      <c r="B9" t="s">
        <v>1557</v>
      </c>
      <c r="C9" t="s">
        <v>1558</v>
      </c>
      <c r="D9">
        <v>1</v>
      </c>
      <c r="E9" s="564" t="s">
        <v>1559</v>
      </c>
      <c r="F9" t="s">
        <v>1560</v>
      </c>
    </row>
    <row r="10" spans="1:8" x14ac:dyDescent="0.2">
      <c r="A10">
        <v>4</v>
      </c>
      <c r="B10" t="s">
        <v>1557</v>
      </c>
      <c r="C10" t="s">
        <v>1561</v>
      </c>
      <c r="D10">
        <v>6</v>
      </c>
      <c r="E10" s="564" t="s">
        <v>1562</v>
      </c>
      <c r="F10" t="s">
        <v>1563</v>
      </c>
      <c r="G10" t="s">
        <v>1564</v>
      </c>
    </row>
    <row r="11" spans="1:8" x14ac:dyDescent="0.2">
      <c r="A11">
        <v>5</v>
      </c>
      <c r="B11" t="s">
        <v>1557</v>
      </c>
      <c r="C11" t="s">
        <v>1565</v>
      </c>
      <c r="D11">
        <v>2</v>
      </c>
      <c r="E11" s="564" t="s">
        <v>1566</v>
      </c>
      <c r="F11" t="s">
        <v>1563</v>
      </c>
    </row>
    <row r="12" spans="1:8" x14ac:dyDescent="0.2">
      <c r="A12">
        <v>6</v>
      </c>
      <c r="B12" t="s">
        <v>1557</v>
      </c>
      <c r="C12" t="s">
        <v>1567</v>
      </c>
      <c r="D12">
        <v>1</v>
      </c>
      <c r="E12" s="564" t="s">
        <v>1568</v>
      </c>
      <c r="F12" t="s">
        <v>1563</v>
      </c>
    </row>
    <row r="13" spans="1:8" x14ac:dyDescent="0.2">
      <c r="A13">
        <v>7</v>
      </c>
      <c r="B13" t="s">
        <v>1557</v>
      </c>
      <c r="C13" t="s">
        <v>1569</v>
      </c>
      <c r="D13">
        <v>1</v>
      </c>
      <c r="E13" s="564" t="s">
        <v>1570</v>
      </c>
      <c r="F13" t="s">
        <v>1563</v>
      </c>
      <c r="G13" t="s">
        <v>1571</v>
      </c>
    </row>
    <row r="14" spans="1:8" x14ac:dyDescent="0.2">
      <c r="A14">
        <v>8</v>
      </c>
      <c r="B14" t="s">
        <v>1557</v>
      </c>
      <c r="C14" t="s">
        <v>1572</v>
      </c>
      <c r="D14">
        <v>1</v>
      </c>
      <c r="E14" s="564" t="s">
        <v>1573</v>
      </c>
      <c r="F14" t="s">
        <v>1574</v>
      </c>
    </row>
    <row r="15" spans="1:8" x14ac:dyDescent="0.2">
      <c r="A15">
        <v>9</v>
      </c>
      <c r="B15" t="s">
        <v>1557</v>
      </c>
      <c r="C15" t="s">
        <v>1575</v>
      </c>
      <c r="D15">
        <v>6</v>
      </c>
      <c r="E15" s="564" t="s">
        <v>1576</v>
      </c>
      <c r="F15" t="s">
        <v>1563</v>
      </c>
    </row>
    <row r="16" spans="1:8" x14ac:dyDescent="0.2">
      <c r="A16">
        <v>10</v>
      </c>
      <c r="B16" t="s">
        <v>1577</v>
      </c>
      <c r="C16" t="s">
        <v>1578</v>
      </c>
      <c r="D16" s="696">
        <v>46056</v>
      </c>
      <c r="E16" s="564" t="s">
        <v>1579</v>
      </c>
      <c r="F16" t="s">
        <v>1574</v>
      </c>
    </row>
    <row r="17" spans="1:8" x14ac:dyDescent="0.2">
      <c r="A17">
        <v>11</v>
      </c>
      <c r="B17" t="s">
        <v>1577</v>
      </c>
      <c r="C17" t="s">
        <v>1580</v>
      </c>
      <c r="D17" s="695">
        <v>46057</v>
      </c>
      <c r="E17" s="564" t="s">
        <v>1581</v>
      </c>
      <c r="F17" t="s">
        <v>1582</v>
      </c>
    </row>
    <row r="18" spans="1:8" x14ac:dyDescent="0.2">
      <c r="A18">
        <v>12</v>
      </c>
      <c r="B18" t="s">
        <v>1577</v>
      </c>
      <c r="C18" t="s">
        <v>1583</v>
      </c>
      <c r="D18">
        <v>1</v>
      </c>
      <c r="E18" s="564" t="s">
        <v>1584</v>
      </c>
      <c r="F18" t="s">
        <v>1585</v>
      </c>
    </row>
    <row r="19" spans="1:8" x14ac:dyDescent="0.2">
      <c r="A19">
        <v>13</v>
      </c>
      <c r="B19" t="s">
        <v>1577</v>
      </c>
      <c r="C19" t="s">
        <v>1586</v>
      </c>
      <c r="D19">
        <v>1</v>
      </c>
      <c r="E19" s="564" t="s">
        <v>1587</v>
      </c>
      <c r="F19" t="s">
        <v>1588</v>
      </c>
    </row>
    <row r="20" spans="1:8" x14ac:dyDescent="0.2">
      <c r="A20">
        <v>14</v>
      </c>
      <c r="B20" t="s">
        <v>1577</v>
      </c>
      <c r="C20" t="s">
        <v>1589</v>
      </c>
      <c r="D20">
        <v>1</v>
      </c>
      <c r="E20" s="564" t="s">
        <v>1590</v>
      </c>
      <c r="F20" t="s">
        <v>1591</v>
      </c>
    </row>
    <row r="21" spans="1:8" x14ac:dyDescent="0.2">
      <c r="A21">
        <v>15</v>
      </c>
      <c r="B21" t="s">
        <v>1577</v>
      </c>
      <c r="C21" t="s">
        <v>1592</v>
      </c>
      <c r="D21">
        <v>1</v>
      </c>
      <c r="E21" s="564" t="s">
        <v>1593</v>
      </c>
      <c r="F21" t="s">
        <v>1594</v>
      </c>
    </row>
    <row r="22" spans="1:8" x14ac:dyDescent="0.2">
      <c r="A22">
        <v>16</v>
      </c>
      <c r="B22" t="s">
        <v>1595</v>
      </c>
      <c r="C22" t="s">
        <v>1596</v>
      </c>
      <c r="D22">
        <v>1</v>
      </c>
      <c r="E22" s="564" t="s">
        <v>1597</v>
      </c>
      <c r="F22" t="s">
        <v>1598</v>
      </c>
    </row>
    <row r="23" spans="1:8" x14ac:dyDescent="0.2">
      <c r="A23">
        <v>17</v>
      </c>
      <c r="B23" t="s">
        <v>1595</v>
      </c>
      <c r="C23" t="s">
        <v>1599</v>
      </c>
      <c r="D23">
        <v>1</v>
      </c>
      <c r="E23" s="564" t="s">
        <v>1600</v>
      </c>
      <c r="F23" t="s">
        <v>1601</v>
      </c>
    </row>
    <row r="24" spans="1:8" x14ac:dyDescent="0.2">
      <c r="A24">
        <v>18</v>
      </c>
      <c r="B24" t="s">
        <v>1595</v>
      </c>
      <c r="C24" s="564" t="s">
        <v>1602</v>
      </c>
      <c r="D24">
        <v>1</v>
      </c>
      <c r="E24" s="564" t="s">
        <v>1603</v>
      </c>
      <c r="F24" t="s">
        <v>1574</v>
      </c>
    </row>
    <row r="25" spans="1:8" x14ac:dyDescent="0.2">
      <c r="A25">
        <v>19</v>
      </c>
      <c r="B25" t="s">
        <v>1595</v>
      </c>
      <c r="C25" t="s">
        <v>1604</v>
      </c>
      <c r="D25">
        <v>1</v>
      </c>
      <c r="E25" s="564" t="s">
        <v>1605</v>
      </c>
      <c r="F25" t="s">
        <v>1606</v>
      </c>
    </row>
    <row r="26" spans="1:8" x14ac:dyDescent="0.2">
      <c r="A26">
        <v>20</v>
      </c>
      <c r="B26" t="s">
        <v>1595</v>
      </c>
      <c r="C26" t="s">
        <v>1607</v>
      </c>
      <c r="D26">
        <v>1</v>
      </c>
      <c r="E26" s="564" t="s">
        <v>1608</v>
      </c>
      <c r="F26" t="s">
        <v>1609</v>
      </c>
    </row>
    <row r="27" spans="1:8" x14ac:dyDescent="0.2">
      <c r="A27">
        <v>21</v>
      </c>
      <c r="B27" t="s">
        <v>1595</v>
      </c>
      <c r="C27" t="s">
        <v>1610</v>
      </c>
      <c r="D27">
        <v>1</v>
      </c>
      <c r="E27" s="564" t="s">
        <v>1611</v>
      </c>
      <c r="F27" t="s">
        <v>1612</v>
      </c>
    </row>
    <row r="28" spans="1:8" x14ac:dyDescent="0.2">
      <c r="A28">
        <v>22</v>
      </c>
      <c r="B28" t="s">
        <v>1613</v>
      </c>
      <c r="C28" t="s">
        <v>1614</v>
      </c>
      <c r="D28">
        <v>3</v>
      </c>
      <c r="E28" s="564" t="s">
        <v>1615</v>
      </c>
      <c r="F28" t="s">
        <v>1616</v>
      </c>
    </row>
    <row r="29" spans="1:8" x14ac:dyDescent="0.2">
      <c r="A29">
        <v>23</v>
      </c>
      <c r="B29" t="s">
        <v>1613</v>
      </c>
      <c r="C29" t="s">
        <v>1617</v>
      </c>
      <c r="D29">
        <v>1</v>
      </c>
      <c r="E29" s="564" t="s">
        <v>1618</v>
      </c>
      <c r="F29" t="s">
        <v>1619</v>
      </c>
    </row>
    <row r="30" spans="1:8" x14ac:dyDescent="0.2">
      <c r="F30" s="472" t="s">
        <v>1620</v>
      </c>
      <c r="H30" s="697">
        <f>SUM(H7:H29)</f>
        <v>0</v>
      </c>
    </row>
    <row r="32" spans="1:8" ht="15" x14ac:dyDescent="0.25">
      <c r="A32" s="603" t="s">
        <v>1621</v>
      </c>
    </row>
    <row r="33" spans="1:7" x14ac:dyDescent="0.2">
      <c r="A33" s="698" t="s">
        <v>1622</v>
      </c>
      <c r="B33" s="698" t="s">
        <v>1623</v>
      </c>
      <c r="C33" s="698" t="s">
        <v>1624</v>
      </c>
      <c r="D33" s="698" t="s">
        <v>1625</v>
      </c>
      <c r="E33" s="698" t="s">
        <v>1626</v>
      </c>
      <c r="F33" s="698" t="s">
        <v>1627</v>
      </c>
      <c r="G33" s="698" t="s">
        <v>1628</v>
      </c>
    </row>
    <row r="34" spans="1:7" x14ac:dyDescent="0.2">
      <c r="A34">
        <v>1</v>
      </c>
      <c r="B34" t="s">
        <v>1629</v>
      </c>
      <c r="C34" t="s">
        <v>1630</v>
      </c>
      <c r="D34" t="s">
        <v>1631</v>
      </c>
      <c r="E34" t="s">
        <v>1632</v>
      </c>
      <c r="F34" t="s">
        <v>1633</v>
      </c>
    </row>
    <row r="35" spans="1:7" x14ac:dyDescent="0.2">
      <c r="A35">
        <v>2</v>
      </c>
      <c r="B35" t="s">
        <v>1629</v>
      </c>
      <c r="C35" t="s">
        <v>1634</v>
      </c>
      <c r="D35" t="s">
        <v>1635</v>
      </c>
      <c r="E35" t="s">
        <v>1636</v>
      </c>
      <c r="F35" t="s">
        <v>1637</v>
      </c>
    </row>
    <row r="36" spans="1:7" x14ac:dyDescent="0.2">
      <c r="A36">
        <v>3</v>
      </c>
      <c r="B36" t="s">
        <v>1629</v>
      </c>
      <c r="C36" t="s">
        <v>1638</v>
      </c>
      <c r="D36" t="s">
        <v>1639</v>
      </c>
      <c r="E36" t="s">
        <v>1640</v>
      </c>
      <c r="F36" t="s">
        <v>1641</v>
      </c>
    </row>
    <row r="37" spans="1:7" x14ac:dyDescent="0.2">
      <c r="A37">
        <v>4</v>
      </c>
      <c r="B37" t="s">
        <v>1642</v>
      </c>
      <c r="C37" t="s">
        <v>1643</v>
      </c>
      <c r="D37" t="s">
        <v>1644</v>
      </c>
      <c r="E37" t="s">
        <v>1645</v>
      </c>
      <c r="F37" t="s">
        <v>1646</v>
      </c>
    </row>
    <row r="38" spans="1:7" x14ac:dyDescent="0.2">
      <c r="A38">
        <v>5</v>
      </c>
      <c r="B38" t="s">
        <v>1642</v>
      </c>
      <c r="C38" t="s">
        <v>1647</v>
      </c>
      <c r="D38" t="s">
        <v>1648</v>
      </c>
      <c r="E38" t="s">
        <v>1649</v>
      </c>
      <c r="F38" t="s">
        <v>1650</v>
      </c>
    </row>
    <row r="39" spans="1:7" x14ac:dyDescent="0.2">
      <c r="A39">
        <v>6</v>
      </c>
      <c r="B39" t="s">
        <v>1651</v>
      </c>
      <c r="C39" t="s">
        <v>1652</v>
      </c>
      <c r="D39" t="s">
        <v>1653</v>
      </c>
      <c r="E39" t="s">
        <v>1654</v>
      </c>
      <c r="F39" t="s">
        <v>1655</v>
      </c>
    </row>
    <row r="40" spans="1:7" x14ac:dyDescent="0.2">
      <c r="A40">
        <v>7</v>
      </c>
      <c r="B40" t="s">
        <v>1651</v>
      </c>
      <c r="C40" t="s">
        <v>1656</v>
      </c>
      <c r="D40" t="s">
        <v>1657</v>
      </c>
      <c r="E40" t="s">
        <v>1658</v>
      </c>
      <c r="F40" t="s">
        <v>1659</v>
      </c>
    </row>
    <row r="41" spans="1:7" x14ac:dyDescent="0.2">
      <c r="A41">
        <v>8</v>
      </c>
      <c r="B41" t="s">
        <v>1651</v>
      </c>
      <c r="C41" t="s">
        <v>1660</v>
      </c>
      <c r="D41" t="s">
        <v>1661</v>
      </c>
      <c r="E41" t="s">
        <v>1662</v>
      </c>
      <c r="F41" t="s">
        <v>1663</v>
      </c>
    </row>
    <row r="42" spans="1:7" x14ac:dyDescent="0.2">
      <c r="A42">
        <v>9</v>
      </c>
      <c r="B42" t="s">
        <v>1651</v>
      </c>
      <c r="C42" t="s">
        <v>1664</v>
      </c>
      <c r="D42" t="s">
        <v>1665</v>
      </c>
      <c r="E42" t="s">
        <v>1666</v>
      </c>
      <c r="F42" t="s">
        <v>1667</v>
      </c>
    </row>
    <row r="43" spans="1:7" x14ac:dyDescent="0.2">
      <c r="A43">
        <v>10</v>
      </c>
      <c r="B43" t="s">
        <v>1651</v>
      </c>
      <c r="C43" t="s">
        <v>1668</v>
      </c>
      <c r="D43" t="s">
        <v>1665</v>
      </c>
      <c r="E43" t="s">
        <v>1669</v>
      </c>
      <c r="F43" t="s">
        <v>1670</v>
      </c>
    </row>
    <row r="44" spans="1:7" x14ac:dyDescent="0.2">
      <c r="A44">
        <v>11</v>
      </c>
      <c r="B44" t="s">
        <v>1651</v>
      </c>
      <c r="C44" t="s">
        <v>1671</v>
      </c>
      <c r="D44" t="s">
        <v>1672</v>
      </c>
      <c r="E44" t="s">
        <v>1673</v>
      </c>
      <c r="F44" t="s">
        <v>1674</v>
      </c>
    </row>
    <row r="45" spans="1:7" x14ac:dyDescent="0.2">
      <c r="A45">
        <v>12</v>
      </c>
      <c r="B45" t="s">
        <v>1651</v>
      </c>
      <c r="C45" t="s">
        <v>1675</v>
      </c>
      <c r="D45" t="s">
        <v>1676</v>
      </c>
      <c r="E45" t="s">
        <v>1677</v>
      </c>
      <c r="F45" t="s">
        <v>1678</v>
      </c>
    </row>
    <row r="46" spans="1:7" x14ac:dyDescent="0.2">
      <c r="A46">
        <v>13</v>
      </c>
      <c r="B46" t="s">
        <v>1679</v>
      </c>
      <c r="C46" t="s">
        <v>1680</v>
      </c>
      <c r="D46" t="s">
        <v>1681</v>
      </c>
      <c r="E46" t="s">
        <v>1682</v>
      </c>
      <c r="F46" s="691" t="s">
        <v>1683</v>
      </c>
    </row>
    <row r="47" spans="1:7" x14ac:dyDescent="0.2">
      <c r="A47">
        <v>14</v>
      </c>
      <c r="B47" t="s">
        <v>1679</v>
      </c>
      <c r="C47" t="s">
        <v>1684</v>
      </c>
      <c r="D47" t="s">
        <v>1665</v>
      </c>
      <c r="E47" t="s">
        <v>1685</v>
      </c>
      <c r="F47" t="s">
        <v>1686</v>
      </c>
    </row>
    <row r="48" spans="1:7" x14ac:dyDescent="0.2">
      <c r="A48">
        <v>15</v>
      </c>
      <c r="B48" t="s">
        <v>1679</v>
      </c>
      <c r="C48" t="s">
        <v>1687</v>
      </c>
      <c r="D48" t="s">
        <v>1661</v>
      </c>
      <c r="E48" t="s">
        <v>1688</v>
      </c>
      <c r="F48" t="s">
        <v>1689</v>
      </c>
    </row>
    <row r="49" spans="1:6" x14ac:dyDescent="0.2">
      <c r="A49">
        <v>16</v>
      </c>
      <c r="B49" t="s">
        <v>1679</v>
      </c>
      <c r="C49" t="s">
        <v>1690</v>
      </c>
      <c r="D49" t="s">
        <v>1691</v>
      </c>
      <c r="E49" t="s">
        <v>1692</v>
      </c>
      <c r="F49" t="s">
        <v>1693</v>
      </c>
    </row>
    <row r="50" spans="1:6" x14ac:dyDescent="0.2">
      <c r="A50">
        <v>17</v>
      </c>
      <c r="B50" t="s">
        <v>1679</v>
      </c>
      <c r="C50" t="s">
        <v>1694</v>
      </c>
      <c r="D50" t="s">
        <v>1695</v>
      </c>
      <c r="E50" t="s">
        <v>1696</v>
      </c>
      <c r="F50" t="s">
        <v>1697</v>
      </c>
    </row>
    <row r="51" spans="1:6" x14ac:dyDescent="0.2">
      <c r="A51">
        <v>18</v>
      </c>
      <c r="B51" t="s">
        <v>1679</v>
      </c>
      <c r="C51" t="s">
        <v>1698</v>
      </c>
      <c r="D51" t="s">
        <v>1699</v>
      </c>
      <c r="E51" t="s">
        <v>1700</v>
      </c>
      <c r="F51" t="s">
        <v>1701</v>
      </c>
    </row>
    <row r="52" spans="1:6" x14ac:dyDescent="0.2">
      <c r="A52">
        <v>19</v>
      </c>
      <c r="B52" t="s">
        <v>1702</v>
      </c>
      <c r="C52" t="s">
        <v>1703</v>
      </c>
      <c r="D52" t="s">
        <v>1704</v>
      </c>
      <c r="E52" t="s">
        <v>1705</v>
      </c>
      <c r="F52" t="s">
        <v>1706</v>
      </c>
    </row>
    <row r="53" spans="1:6" x14ac:dyDescent="0.2">
      <c r="A53">
        <v>20</v>
      </c>
      <c r="B53" t="s">
        <v>1702</v>
      </c>
      <c r="C53" t="s">
        <v>1707</v>
      </c>
      <c r="D53" t="s">
        <v>1708</v>
      </c>
      <c r="E53" t="s">
        <v>1709</v>
      </c>
      <c r="F53" t="s">
        <v>1710</v>
      </c>
    </row>
    <row r="54" spans="1:6" x14ac:dyDescent="0.2">
      <c r="A54">
        <v>21</v>
      </c>
      <c r="B54" t="s">
        <v>1595</v>
      </c>
      <c r="C54" t="s">
        <v>1711</v>
      </c>
      <c r="D54" t="s">
        <v>1712</v>
      </c>
      <c r="E54" t="s">
        <v>1713</v>
      </c>
      <c r="F54" t="s">
        <v>1714</v>
      </c>
    </row>
    <row r="55" spans="1:6" x14ac:dyDescent="0.2">
      <c r="A55">
        <v>22</v>
      </c>
      <c r="B55" t="s">
        <v>1595</v>
      </c>
      <c r="C55" t="s">
        <v>1715</v>
      </c>
      <c r="D55" t="s">
        <v>1716</v>
      </c>
      <c r="E55" t="s">
        <v>1717</v>
      </c>
      <c r="F55" t="s">
        <v>1718</v>
      </c>
    </row>
    <row r="56" spans="1:6" x14ac:dyDescent="0.2">
      <c r="A56">
        <v>23</v>
      </c>
      <c r="B56" t="s">
        <v>1595</v>
      </c>
      <c r="C56" t="s">
        <v>1719</v>
      </c>
      <c r="D56" t="s">
        <v>1720</v>
      </c>
      <c r="E56" t="s">
        <v>1721</v>
      </c>
      <c r="F56" t="s">
        <v>1722</v>
      </c>
    </row>
    <row r="57" spans="1:6" x14ac:dyDescent="0.2">
      <c r="A57">
        <v>24</v>
      </c>
      <c r="B57" t="s">
        <v>1595</v>
      </c>
      <c r="C57" t="s">
        <v>1723</v>
      </c>
      <c r="D57" t="s">
        <v>1720</v>
      </c>
      <c r="E57" t="s">
        <v>1724</v>
      </c>
      <c r="F57" t="s">
        <v>1725</v>
      </c>
    </row>
    <row r="58" spans="1:6" x14ac:dyDescent="0.2">
      <c r="A58">
        <v>25</v>
      </c>
      <c r="B58" t="s">
        <v>1595</v>
      </c>
      <c r="C58" t="s">
        <v>1726</v>
      </c>
      <c r="D58" t="s">
        <v>1727</v>
      </c>
      <c r="E58" t="s">
        <v>1728</v>
      </c>
      <c r="F58" t="s">
        <v>1729</v>
      </c>
    </row>
    <row r="59" spans="1:6" x14ac:dyDescent="0.2">
      <c r="A59">
        <v>26</v>
      </c>
      <c r="B59" t="s">
        <v>1595</v>
      </c>
      <c r="C59" t="s">
        <v>1730</v>
      </c>
      <c r="D59" t="s">
        <v>1731</v>
      </c>
      <c r="E59" t="s">
        <v>1732</v>
      </c>
      <c r="F59" t="s">
        <v>1733</v>
      </c>
    </row>
    <row r="60" spans="1:6" x14ac:dyDescent="0.2">
      <c r="A60">
        <v>27</v>
      </c>
      <c r="B60" t="s">
        <v>1734</v>
      </c>
      <c r="C60" t="s">
        <v>1735</v>
      </c>
      <c r="D60" t="s">
        <v>1736</v>
      </c>
      <c r="E60" t="s">
        <v>1737</v>
      </c>
      <c r="F60" t="s">
        <v>1738</v>
      </c>
    </row>
    <row r="61" spans="1:6" x14ac:dyDescent="0.2">
      <c r="A61">
        <v>28</v>
      </c>
      <c r="B61" t="s">
        <v>1734</v>
      </c>
      <c r="C61" t="s">
        <v>1739</v>
      </c>
      <c r="D61" t="s">
        <v>1740</v>
      </c>
      <c r="E61" t="s">
        <v>1741</v>
      </c>
      <c r="F61" t="s">
        <v>1742</v>
      </c>
    </row>
    <row r="62" spans="1:6" x14ac:dyDescent="0.2">
      <c r="A62">
        <v>29</v>
      </c>
      <c r="B62" t="s">
        <v>1734</v>
      </c>
      <c r="C62" t="s">
        <v>1743</v>
      </c>
      <c r="D62" t="s">
        <v>1744</v>
      </c>
      <c r="E62" t="s">
        <v>1745</v>
      </c>
      <c r="F62" t="s">
        <v>1746</v>
      </c>
    </row>
    <row r="63" spans="1:6" x14ac:dyDescent="0.2">
      <c r="A63">
        <v>30</v>
      </c>
      <c r="B63" t="s">
        <v>1734</v>
      </c>
      <c r="C63" t="s">
        <v>1747</v>
      </c>
      <c r="D63" t="s">
        <v>1740</v>
      </c>
      <c r="E63" t="s">
        <v>1748</v>
      </c>
      <c r="F63" t="s">
        <v>1749</v>
      </c>
    </row>
    <row r="64" spans="1:6" x14ac:dyDescent="0.2">
      <c r="A64">
        <v>31</v>
      </c>
      <c r="B64" t="s">
        <v>1734</v>
      </c>
      <c r="C64" t="s">
        <v>1750</v>
      </c>
      <c r="D64" t="s">
        <v>1751</v>
      </c>
      <c r="E64" t="s">
        <v>1752</v>
      </c>
      <c r="F64" t="s">
        <v>1753</v>
      </c>
    </row>
    <row r="65" spans="1:6" x14ac:dyDescent="0.2">
      <c r="A65">
        <v>32</v>
      </c>
      <c r="B65" t="s">
        <v>1754</v>
      </c>
      <c r="C65" t="s">
        <v>1755</v>
      </c>
      <c r="D65" t="s">
        <v>1756</v>
      </c>
      <c r="E65" t="s">
        <v>1757</v>
      </c>
      <c r="F65" t="s">
        <v>1758</v>
      </c>
    </row>
    <row r="68" spans="1:6" ht="15.75" x14ac:dyDescent="0.25">
      <c r="A68" s="699" t="s">
        <v>1759</v>
      </c>
      <c r="B68" s="693" t="s">
        <v>1542</v>
      </c>
    </row>
    <row r="69" spans="1:6" x14ac:dyDescent="0.2">
      <c r="A69" s="641" t="s">
        <v>1760</v>
      </c>
    </row>
    <row r="70" spans="1:6" x14ac:dyDescent="0.2">
      <c r="A70" s="609" t="s">
        <v>610</v>
      </c>
      <c r="B70" s="609" t="s">
        <v>1545</v>
      </c>
      <c r="C70" s="609" t="s">
        <v>1761</v>
      </c>
      <c r="D70" s="609" t="s">
        <v>1762</v>
      </c>
      <c r="E70" s="609" t="s">
        <v>2</v>
      </c>
    </row>
    <row r="71" spans="1:6" x14ac:dyDescent="0.2">
      <c r="A71">
        <v>1</v>
      </c>
      <c r="B71" t="s">
        <v>1550</v>
      </c>
      <c r="C71" s="689" t="s">
        <v>1763</v>
      </c>
      <c r="D71" s="564"/>
      <c r="E71" t="s">
        <v>1764</v>
      </c>
    </row>
    <row r="72" spans="1:6" x14ac:dyDescent="0.2">
      <c r="A72">
        <v>2</v>
      </c>
      <c r="B72" t="s">
        <v>1765</v>
      </c>
      <c r="C72" s="689" t="s">
        <v>1766</v>
      </c>
      <c r="D72" s="564"/>
    </row>
    <row r="73" spans="1:6" x14ac:dyDescent="0.2">
      <c r="A73">
        <v>3</v>
      </c>
      <c r="B73" t="s">
        <v>1767</v>
      </c>
      <c r="C73" s="689" t="s">
        <v>1768</v>
      </c>
      <c r="D73" s="564"/>
      <c r="E73" t="s">
        <v>1769</v>
      </c>
    </row>
    <row r="74" spans="1:6" x14ac:dyDescent="0.2">
      <c r="A74">
        <v>4</v>
      </c>
      <c r="B74" t="s">
        <v>1770</v>
      </c>
      <c r="C74" s="689" t="s">
        <v>1771</v>
      </c>
      <c r="D74" s="564"/>
      <c r="E74" t="s">
        <v>1772</v>
      </c>
    </row>
    <row r="75" spans="1:6" x14ac:dyDescent="0.2">
      <c r="A75">
        <v>5</v>
      </c>
      <c r="B75" t="s">
        <v>1773</v>
      </c>
      <c r="C75" s="689" t="s">
        <v>1774</v>
      </c>
      <c r="D75" s="564"/>
      <c r="E75" t="s">
        <v>1775</v>
      </c>
    </row>
    <row r="76" spans="1:6" x14ac:dyDescent="0.2">
      <c r="A76">
        <v>6</v>
      </c>
      <c r="B76" t="s">
        <v>1776</v>
      </c>
      <c r="C76" s="597" t="s">
        <v>1777</v>
      </c>
      <c r="D76" s="564"/>
      <c r="E76" t="s">
        <v>1778</v>
      </c>
    </row>
    <row r="77" spans="1:6" x14ac:dyDescent="0.2">
      <c r="A77">
        <v>7</v>
      </c>
      <c r="B77" t="s">
        <v>1779</v>
      </c>
      <c r="C77" s="597" t="s">
        <v>1780</v>
      </c>
      <c r="D77" s="564"/>
      <c r="E77" t="s">
        <v>1781</v>
      </c>
    </row>
    <row r="78" spans="1:6" x14ac:dyDescent="0.2">
      <c r="A78">
        <v>8</v>
      </c>
      <c r="B78" t="s">
        <v>1782</v>
      </c>
      <c r="C78" s="597" t="s">
        <v>1783</v>
      </c>
      <c r="D78" s="564"/>
      <c r="E78" t="s">
        <v>1784</v>
      </c>
    </row>
    <row r="79" spans="1:6" x14ac:dyDescent="0.2">
      <c r="A79">
        <v>9</v>
      </c>
      <c r="B79" t="s">
        <v>1785</v>
      </c>
      <c r="C79" s="689" t="s">
        <v>1786</v>
      </c>
      <c r="D79" s="564"/>
      <c r="E79" t="s">
        <v>1787</v>
      </c>
    </row>
    <row r="81" spans="1:1" ht="15" x14ac:dyDescent="0.25">
      <c r="A81" s="601" t="s">
        <v>1788</v>
      </c>
    </row>
    <row r="82" spans="1:1" x14ac:dyDescent="0.2">
      <c r="A82" s="641" t="s">
        <v>1789</v>
      </c>
    </row>
    <row r="83" spans="1:1" x14ac:dyDescent="0.2">
      <c r="A83" t="s">
        <v>1790</v>
      </c>
    </row>
    <row r="84" spans="1:1" x14ac:dyDescent="0.2">
      <c r="A84" t="s">
        <v>1791</v>
      </c>
    </row>
    <row r="85" spans="1:1" x14ac:dyDescent="0.2">
      <c r="A85" t="s">
        <v>1792</v>
      </c>
    </row>
    <row r="86" spans="1:1" x14ac:dyDescent="0.2">
      <c r="A86" t="s">
        <v>1793</v>
      </c>
    </row>
    <row r="87" spans="1:1" x14ac:dyDescent="0.2">
      <c r="A87" t="s">
        <v>1794</v>
      </c>
    </row>
    <row r="90" spans="1:1" ht="18" x14ac:dyDescent="0.25">
      <c r="A90" s="838" t="s">
        <v>7292</v>
      </c>
    </row>
    <row r="91" spans="1:1" x14ac:dyDescent="0.2">
      <c r="A91" s="734" t="s">
        <v>7246</v>
      </c>
    </row>
    <row r="93" spans="1:1" x14ac:dyDescent="0.2">
      <c r="A93" s="839" t="s">
        <v>7293</v>
      </c>
    </row>
    <row r="94" spans="1:1" x14ac:dyDescent="0.2">
      <c r="A94" s="842" t="s">
        <v>7294</v>
      </c>
    </row>
    <row r="95" spans="1:1" x14ac:dyDescent="0.2">
      <c r="A95" s="759" t="s">
        <v>7295</v>
      </c>
    </row>
    <row r="96" spans="1:1" x14ac:dyDescent="0.2">
      <c r="A96" t="s">
        <v>7296</v>
      </c>
    </row>
    <row r="98" spans="1:1" x14ac:dyDescent="0.2">
      <c r="A98" s="839" t="s">
        <v>7297</v>
      </c>
    </row>
    <row r="99" spans="1:1" x14ac:dyDescent="0.2">
      <c r="A99" s="842" t="s">
        <v>7298</v>
      </c>
    </row>
    <row r="100" spans="1:1" x14ac:dyDescent="0.2">
      <c r="A100" t="s">
        <v>7299</v>
      </c>
    </row>
    <row r="101" spans="1:1" x14ac:dyDescent="0.2">
      <c r="A101" t="s">
        <v>7300</v>
      </c>
    </row>
    <row r="102" spans="1:1" x14ac:dyDescent="0.2">
      <c r="A102" t="s">
        <v>6791</v>
      </c>
    </row>
    <row r="103" spans="1:1" x14ac:dyDescent="0.2">
      <c r="A103" s="839" t="s">
        <v>7301</v>
      </c>
    </row>
    <row r="104" spans="1:1" x14ac:dyDescent="0.2">
      <c r="A104" s="843" t="s">
        <v>7302</v>
      </c>
    </row>
    <row r="105" spans="1:1" x14ac:dyDescent="0.2">
      <c r="A105" t="s">
        <v>7303</v>
      </c>
    </row>
    <row r="106" spans="1:1" x14ac:dyDescent="0.2">
      <c r="A106" t="s">
        <v>7304</v>
      </c>
    </row>
    <row r="107" spans="1:1" x14ac:dyDescent="0.2">
      <c r="A107" t="s">
        <v>6792</v>
      </c>
    </row>
    <row r="109" spans="1:1" x14ac:dyDescent="0.2">
      <c r="A109" s="609" t="s">
        <v>6658</v>
      </c>
    </row>
    <row r="110" spans="1:1" x14ac:dyDescent="0.2">
      <c r="A110" t="s">
        <v>6793</v>
      </c>
    </row>
    <row r="111" spans="1:1" x14ac:dyDescent="0.2">
      <c r="A111" t="s">
        <v>6794</v>
      </c>
    </row>
    <row r="113" spans="1:1" x14ac:dyDescent="0.2">
      <c r="A113" s="609" t="s">
        <v>6661</v>
      </c>
    </row>
    <row r="114" spans="1:1" x14ac:dyDescent="0.2">
      <c r="A114" t="s">
        <v>6493</v>
      </c>
    </row>
    <row r="115" spans="1:1" x14ac:dyDescent="0.2">
      <c r="A115" t="s">
        <v>6795</v>
      </c>
    </row>
    <row r="116" spans="1:1" x14ac:dyDescent="0.2">
      <c r="A116" t="s">
        <v>6796</v>
      </c>
    </row>
    <row r="118" spans="1:1" x14ac:dyDescent="0.2">
      <c r="A118" s="609" t="s">
        <v>6682</v>
      </c>
    </row>
    <row r="119" spans="1:1" x14ac:dyDescent="0.2">
      <c r="A119" t="s">
        <v>6797</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DE295-3138-44C9-B4B2-3F78474C8C6E}">
  <dimension ref="A1:H107"/>
  <sheetViews>
    <sheetView workbookViewId="0">
      <pane ySplit="5" topLeftCell="A21" activePane="bottomLeft" state="frozen"/>
      <selection pane="bottomLeft"/>
    </sheetView>
  </sheetViews>
  <sheetFormatPr defaultRowHeight="12.75" x14ac:dyDescent="0.2"/>
  <cols>
    <col min="1" max="1" width="137.140625" customWidth="1"/>
    <col min="2" max="2" width="17.140625" customWidth="1"/>
    <col min="3" max="3" width="51.42578125" customWidth="1"/>
    <col min="4" max="4" width="28.5703125" customWidth="1"/>
    <col min="5" max="5" width="43.85546875" customWidth="1"/>
    <col min="6" max="6" width="47.5703125" customWidth="1"/>
    <col min="7" max="7" width="9.5703125" customWidth="1"/>
    <col min="8" max="8" width="15.28515625" customWidth="1"/>
  </cols>
  <sheetData>
    <row r="1" spans="1:8" ht="18" x14ac:dyDescent="0.25">
      <c r="A1" s="470" t="s">
        <v>1795</v>
      </c>
    </row>
    <row r="2" spans="1:8" x14ac:dyDescent="0.2">
      <c r="A2" s="537" t="s">
        <v>1796</v>
      </c>
    </row>
    <row r="4" spans="1:8" ht="15.75" x14ac:dyDescent="0.25">
      <c r="A4" s="667" t="s">
        <v>1543</v>
      </c>
    </row>
    <row r="5" spans="1:8" x14ac:dyDescent="0.2">
      <c r="A5" s="700" t="s">
        <v>610</v>
      </c>
      <c r="B5" s="700" t="s">
        <v>1544</v>
      </c>
      <c r="C5" s="700" t="s">
        <v>1545</v>
      </c>
      <c r="D5" s="700" t="s">
        <v>1546</v>
      </c>
      <c r="E5" s="700" t="s">
        <v>1547</v>
      </c>
      <c r="F5" s="700" t="s">
        <v>1188</v>
      </c>
      <c r="G5" s="700" t="s">
        <v>1548</v>
      </c>
      <c r="H5" s="700" t="s">
        <v>1549</v>
      </c>
    </row>
    <row r="6" spans="1:8" x14ac:dyDescent="0.2">
      <c r="A6">
        <v>1</v>
      </c>
      <c r="B6" t="s">
        <v>613</v>
      </c>
      <c r="C6" t="s">
        <v>1550</v>
      </c>
      <c r="D6">
        <v>1</v>
      </c>
      <c r="E6" s="564" t="s">
        <v>1797</v>
      </c>
      <c r="F6" s="564" t="s">
        <v>1798</v>
      </c>
    </row>
    <row r="7" spans="1:8" x14ac:dyDescent="0.2">
      <c r="A7">
        <v>2</v>
      </c>
      <c r="B7" t="s">
        <v>613</v>
      </c>
      <c r="C7" t="s">
        <v>1799</v>
      </c>
      <c r="D7">
        <v>1</v>
      </c>
      <c r="E7" t="s">
        <v>1800</v>
      </c>
      <c r="F7" t="s">
        <v>1801</v>
      </c>
      <c r="G7" t="s">
        <v>1802</v>
      </c>
    </row>
    <row r="8" spans="1:8" x14ac:dyDescent="0.2">
      <c r="A8">
        <v>3</v>
      </c>
      <c r="B8" t="s">
        <v>613</v>
      </c>
      <c r="C8" t="s">
        <v>1803</v>
      </c>
      <c r="D8">
        <v>1</v>
      </c>
      <c r="E8" t="s">
        <v>1804</v>
      </c>
      <c r="F8" t="s">
        <v>1805</v>
      </c>
      <c r="G8" t="s">
        <v>1806</v>
      </c>
    </row>
    <row r="9" spans="1:8" x14ac:dyDescent="0.2">
      <c r="A9">
        <v>4</v>
      </c>
      <c r="B9" t="s">
        <v>1557</v>
      </c>
      <c r="C9" t="s">
        <v>1807</v>
      </c>
      <c r="D9">
        <v>4</v>
      </c>
      <c r="E9" s="564" t="s">
        <v>1808</v>
      </c>
      <c r="F9" t="s">
        <v>1809</v>
      </c>
    </row>
    <row r="10" spans="1:8" x14ac:dyDescent="0.2">
      <c r="A10">
        <v>5</v>
      </c>
      <c r="B10" t="s">
        <v>1557</v>
      </c>
      <c r="C10" t="s">
        <v>1558</v>
      </c>
      <c r="D10">
        <v>1</v>
      </c>
      <c r="E10" t="s">
        <v>1810</v>
      </c>
      <c r="F10" t="s">
        <v>618</v>
      </c>
      <c r="G10" t="s">
        <v>1811</v>
      </c>
    </row>
    <row r="11" spans="1:8" x14ac:dyDescent="0.2">
      <c r="A11">
        <v>6</v>
      </c>
      <c r="B11" t="s">
        <v>1557</v>
      </c>
      <c r="C11" t="s">
        <v>1812</v>
      </c>
      <c r="D11">
        <v>1</v>
      </c>
      <c r="E11" s="564" t="s">
        <v>1813</v>
      </c>
      <c r="F11" t="s">
        <v>1814</v>
      </c>
    </row>
    <row r="12" spans="1:8" x14ac:dyDescent="0.2">
      <c r="A12">
        <v>7</v>
      </c>
      <c r="B12" t="s">
        <v>1557</v>
      </c>
      <c r="C12" t="s">
        <v>1815</v>
      </c>
      <c r="D12">
        <v>1</v>
      </c>
      <c r="E12" t="s">
        <v>1816</v>
      </c>
      <c r="F12" t="s">
        <v>1817</v>
      </c>
    </row>
    <row r="13" spans="1:8" x14ac:dyDescent="0.2">
      <c r="A13">
        <v>8</v>
      </c>
      <c r="B13" t="s">
        <v>1557</v>
      </c>
      <c r="C13" t="s">
        <v>1818</v>
      </c>
      <c r="D13">
        <v>1</v>
      </c>
      <c r="E13" s="564" t="s">
        <v>1819</v>
      </c>
      <c r="F13" t="s">
        <v>1820</v>
      </c>
    </row>
    <row r="14" spans="1:8" x14ac:dyDescent="0.2">
      <c r="A14">
        <v>9</v>
      </c>
      <c r="B14" t="s">
        <v>1557</v>
      </c>
      <c r="C14" t="s">
        <v>1821</v>
      </c>
      <c r="D14">
        <v>1</v>
      </c>
      <c r="E14" t="s">
        <v>1822</v>
      </c>
      <c r="F14" t="s">
        <v>1823</v>
      </c>
    </row>
    <row r="15" spans="1:8" x14ac:dyDescent="0.2">
      <c r="A15">
        <v>10</v>
      </c>
      <c r="B15" t="s">
        <v>1557</v>
      </c>
      <c r="C15" t="s">
        <v>1824</v>
      </c>
      <c r="D15">
        <v>1</v>
      </c>
      <c r="E15" s="564" t="s">
        <v>1825</v>
      </c>
      <c r="F15" t="s">
        <v>1826</v>
      </c>
    </row>
    <row r="16" spans="1:8" x14ac:dyDescent="0.2">
      <c r="A16">
        <v>11</v>
      </c>
      <c r="B16" t="s">
        <v>1577</v>
      </c>
      <c r="C16" t="s">
        <v>1827</v>
      </c>
      <c r="D16">
        <v>1</v>
      </c>
      <c r="E16" s="564" t="s">
        <v>1828</v>
      </c>
      <c r="F16" t="s">
        <v>1829</v>
      </c>
    </row>
    <row r="17" spans="1:8" x14ac:dyDescent="0.2">
      <c r="A17">
        <v>12</v>
      </c>
      <c r="B17" t="s">
        <v>1577</v>
      </c>
      <c r="C17" t="s">
        <v>1830</v>
      </c>
      <c r="D17">
        <v>1</v>
      </c>
      <c r="E17" s="564" t="s">
        <v>1831</v>
      </c>
      <c r="F17" t="s">
        <v>1832</v>
      </c>
    </row>
    <row r="18" spans="1:8" x14ac:dyDescent="0.2">
      <c r="A18">
        <v>13</v>
      </c>
      <c r="B18" t="s">
        <v>1577</v>
      </c>
      <c r="C18" t="s">
        <v>1833</v>
      </c>
      <c r="D18">
        <v>1</v>
      </c>
      <c r="E18" s="564" t="s">
        <v>1834</v>
      </c>
      <c r="F18" t="s">
        <v>1835</v>
      </c>
    </row>
    <row r="19" spans="1:8" x14ac:dyDescent="0.2">
      <c r="A19">
        <v>14</v>
      </c>
      <c r="B19" t="s">
        <v>1577</v>
      </c>
      <c r="C19" t="s">
        <v>1836</v>
      </c>
      <c r="D19">
        <v>1</v>
      </c>
      <c r="E19" s="564" t="s">
        <v>1837</v>
      </c>
      <c r="F19" t="s">
        <v>1838</v>
      </c>
    </row>
    <row r="20" spans="1:8" x14ac:dyDescent="0.2">
      <c r="A20">
        <v>15</v>
      </c>
      <c r="B20" t="s">
        <v>1577</v>
      </c>
      <c r="C20" t="s">
        <v>1589</v>
      </c>
      <c r="D20">
        <v>1</v>
      </c>
      <c r="E20" s="564" t="s">
        <v>1839</v>
      </c>
      <c r="F20" t="s">
        <v>1840</v>
      </c>
    </row>
    <row r="21" spans="1:8" x14ac:dyDescent="0.2">
      <c r="A21">
        <v>16</v>
      </c>
      <c r="B21" t="s">
        <v>1595</v>
      </c>
      <c r="C21" t="s">
        <v>1841</v>
      </c>
      <c r="D21">
        <v>1</v>
      </c>
      <c r="E21" s="564" t="s">
        <v>1842</v>
      </c>
      <c r="F21" t="s">
        <v>1843</v>
      </c>
    </row>
    <row r="22" spans="1:8" x14ac:dyDescent="0.2">
      <c r="A22">
        <v>17</v>
      </c>
      <c r="B22" t="s">
        <v>1595</v>
      </c>
      <c r="C22" t="s">
        <v>1844</v>
      </c>
      <c r="D22">
        <v>1</v>
      </c>
      <c r="E22" s="564" t="s">
        <v>1845</v>
      </c>
      <c r="F22" t="s">
        <v>1846</v>
      </c>
    </row>
    <row r="23" spans="1:8" x14ac:dyDescent="0.2">
      <c r="A23">
        <v>18</v>
      </c>
      <c r="B23" t="s">
        <v>1613</v>
      </c>
      <c r="C23" t="s">
        <v>1847</v>
      </c>
      <c r="D23">
        <v>3</v>
      </c>
      <c r="E23" s="564" t="s">
        <v>1848</v>
      </c>
      <c r="F23" t="s">
        <v>1616</v>
      </c>
    </row>
    <row r="24" spans="1:8" x14ac:dyDescent="0.2">
      <c r="F24" s="472" t="s">
        <v>1620</v>
      </c>
      <c r="H24" s="697">
        <f>SUM(H6:H23)</f>
        <v>0</v>
      </c>
    </row>
    <row r="26" spans="1:8" ht="15" x14ac:dyDescent="0.25">
      <c r="A26" s="603" t="s">
        <v>1849</v>
      </c>
    </row>
    <row r="27" spans="1:8" x14ac:dyDescent="0.2">
      <c r="A27" s="698" t="s">
        <v>1622</v>
      </c>
      <c r="B27" s="698" t="s">
        <v>1623</v>
      </c>
      <c r="C27" s="698" t="s">
        <v>1624</v>
      </c>
      <c r="D27" s="698" t="s">
        <v>1625</v>
      </c>
      <c r="E27" s="698" t="s">
        <v>1626</v>
      </c>
      <c r="F27" s="698" t="s">
        <v>1627</v>
      </c>
      <c r="G27" s="698" t="s">
        <v>1628</v>
      </c>
    </row>
    <row r="28" spans="1:8" x14ac:dyDescent="0.2">
      <c r="A28">
        <v>1</v>
      </c>
      <c r="B28" t="s">
        <v>1629</v>
      </c>
      <c r="C28" t="s">
        <v>1850</v>
      </c>
      <c r="D28" t="s">
        <v>1851</v>
      </c>
      <c r="E28" t="s">
        <v>1852</v>
      </c>
      <c r="F28" t="s">
        <v>1853</v>
      </c>
    </row>
    <row r="29" spans="1:8" x14ac:dyDescent="0.2">
      <c r="A29">
        <v>2</v>
      </c>
      <c r="B29" t="s">
        <v>1629</v>
      </c>
      <c r="C29" t="s">
        <v>1854</v>
      </c>
      <c r="D29" t="s">
        <v>1855</v>
      </c>
      <c r="E29" t="s">
        <v>1856</v>
      </c>
      <c r="F29" t="s">
        <v>1857</v>
      </c>
    </row>
    <row r="30" spans="1:8" x14ac:dyDescent="0.2">
      <c r="A30">
        <v>3</v>
      </c>
      <c r="B30" t="s">
        <v>1629</v>
      </c>
      <c r="C30" t="s">
        <v>1858</v>
      </c>
      <c r="D30" t="s">
        <v>1635</v>
      </c>
      <c r="E30" t="s">
        <v>1859</v>
      </c>
      <c r="F30" t="s">
        <v>1860</v>
      </c>
    </row>
    <row r="31" spans="1:8" x14ac:dyDescent="0.2">
      <c r="A31">
        <v>4</v>
      </c>
      <c r="B31" t="s">
        <v>1642</v>
      </c>
      <c r="C31" t="s">
        <v>1861</v>
      </c>
      <c r="D31" t="s">
        <v>1862</v>
      </c>
      <c r="E31" t="s">
        <v>1863</v>
      </c>
      <c r="F31" t="s">
        <v>1864</v>
      </c>
    </row>
    <row r="32" spans="1:8" x14ac:dyDescent="0.2">
      <c r="A32">
        <v>5</v>
      </c>
      <c r="B32" t="s">
        <v>1642</v>
      </c>
      <c r="C32" t="s">
        <v>1865</v>
      </c>
      <c r="D32" t="s">
        <v>1648</v>
      </c>
      <c r="E32" t="s">
        <v>1866</v>
      </c>
      <c r="F32" t="s">
        <v>1867</v>
      </c>
    </row>
    <row r="33" spans="1:6" x14ac:dyDescent="0.2">
      <c r="A33">
        <v>6</v>
      </c>
      <c r="B33" t="s">
        <v>1651</v>
      </c>
      <c r="C33" t="s">
        <v>1868</v>
      </c>
      <c r="D33" t="s">
        <v>1653</v>
      </c>
      <c r="E33" t="s">
        <v>1869</v>
      </c>
      <c r="F33" t="s">
        <v>1870</v>
      </c>
    </row>
    <row r="34" spans="1:6" x14ac:dyDescent="0.2">
      <c r="A34">
        <v>7</v>
      </c>
      <c r="B34" t="s">
        <v>1651</v>
      </c>
      <c r="C34" t="s">
        <v>1871</v>
      </c>
      <c r="D34" t="s">
        <v>1699</v>
      </c>
      <c r="E34" t="s">
        <v>1872</v>
      </c>
      <c r="F34" t="s">
        <v>1873</v>
      </c>
    </row>
    <row r="35" spans="1:6" x14ac:dyDescent="0.2">
      <c r="A35">
        <v>8</v>
      </c>
      <c r="B35" t="s">
        <v>1651</v>
      </c>
      <c r="C35" t="s">
        <v>1874</v>
      </c>
      <c r="D35" t="s">
        <v>1875</v>
      </c>
      <c r="E35" t="s">
        <v>1876</v>
      </c>
      <c r="F35" t="s">
        <v>1877</v>
      </c>
    </row>
    <row r="36" spans="1:6" x14ac:dyDescent="0.2">
      <c r="A36">
        <v>9</v>
      </c>
      <c r="B36" t="s">
        <v>1651</v>
      </c>
      <c r="C36" t="s">
        <v>1878</v>
      </c>
      <c r="D36" t="s">
        <v>1665</v>
      </c>
      <c r="E36" t="s">
        <v>1879</v>
      </c>
      <c r="F36" t="s">
        <v>1880</v>
      </c>
    </row>
    <row r="37" spans="1:6" x14ac:dyDescent="0.2">
      <c r="A37">
        <v>10</v>
      </c>
      <c r="B37" t="s">
        <v>1651</v>
      </c>
      <c r="C37" t="s">
        <v>1881</v>
      </c>
      <c r="D37" t="s">
        <v>1882</v>
      </c>
      <c r="E37" t="s">
        <v>1883</v>
      </c>
      <c r="F37" t="s">
        <v>1884</v>
      </c>
    </row>
    <row r="38" spans="1:6" x14ac:dyDescent="0.2">
      <c r="A38">
        <v>11</v>
      </c>
      <c r="B38" t="s">
        <v>1885</v>
      </c>
      <c r="C38" t="s">
        <v>1680</v>
      </c>
      <c r="D38" t="s">
        <v>1681</v>
      </c>
      <c r="E38" t="s">
        <v>1886</v>
      </c>
      <c r="F38" s="691" t="s">
        <v>1887</v>
      </c>
    </row>
    <row r="39" spans="1:6" x14ac:dyDescent="0.2">
      <c r="A39">
        <v>12</v>
      </c>
      <c r="B39" t="s">
        <v>1679</v>
      </c>
      <c r="C39" t="s">
        <v>1888</v>
      </c>
      <c r="D39" t="s">
        <v>1699</v>
      </c>
      <c r="E39" t="s">
        <v>1889</v>
      </c>
      <c r="F39" t="s">
        <v>1890</v>
      </c>
    </row>
    <row r="40" spans="1:6" x14ac:dyDescent="0.2">
      <c r="A40">
        <v>13</v>
      </c>
      <c r="B40" t="s">
        <v>1679</v>
      </c>
      <c r="C40" t="s">
        <v>1891</v>
      </c>
      <c r="D40" t="s">
        <v>1665</v>
      </c>
      <c r="E40" t="s">
        <v>1892</v>
      </c>
      <c r="F40" t="s">
        <v>1893</v>
      </c>
    </row>
    <row r="41" spans="1:6" x14ac:dyDescent="0.2">
      <c r="A41">
        <v>14</v>
      </c>
      <c r="B41" t="s">
        <v>1894</v>
      </c>
      <c r="C41" t="s">
        <v>1895</v>
      </c>
      <c r="D41" t="s">
        <v>1896</v>
      </c>
      <c r="E41" t="s">
        <v>1897</v>
      </c>
      <c r="F41" t="s">
        <v>1898</v>
      </c>
    </row>
    <row r="42" spans="1:6" x14ac:dyDescent="0.2">
      <c r="A42">
        <v>15</v>
      </c>
      <c r="B42" t="s">
        <v>1894</v>
      </c>
      <c r="C42" t="s">
        <v>1899</v>
      </c>
      <c r="D42" t="s">
        <v>1900</v>
      </c>
      <c r="E42" t="s">
        <v>1901</v>
      </c>
      <c r="F42" t="s">
        <v>1902</v>
      </c>
    </row>
    <row r="43" spans="1:6" x14ac:dyDescent="0.2">
      <c r="A43">
        <v>16</v>
      </c>
      <c r="B43" t="s">
        <v>1894</v>
      </c>
      <c r="C43" t="s">
        <v>1903</v>
      </c>
      <c r="D43" t="s">
        <v>1904</v>
      </c>
      <c r="E43" t="s">
        <v>1905</v>
      </c>
      <c r="F43" t="s">
        <v>1906</v>
      </c>
    </row>
    <row r="44" spans="1:6" x14ac:dyDescent="0.2">
      <c r="A44">
        <v>17</v>
      </c>
      <c r="B44" t="s">
        <v>1734</v>
      </c>
      <c r="C44" t="s">
        <v>1907</v>
      </c>
      <c r="D44" t="s">
        <v>1908</v>
      </c>
      <c r="E44" t="s">
        <v>1909</v>
      </c>
      <c r="F44" t="s">
        <v>1910</v>
      </c>
    </row>
    <row r="45" spans="1:6" x14ac:dyDescent="0.2">
      <c r="A45">
        <v>18</v>
      </c>
      <c r="B45" t="s">
        <v>1595</v>
      </c>
      <c r="C45" t="s">
        <v>1911</v>
      </c>
      <c r="D45" t="s">
        <v>1708</v>
      </c>
      <c r="E45" t="s">
        <v>1912</v>
      </c>
      <c r="F45" t="s">
        <v>1913</v>
      </c>
    </row>
    <row r="46" spans="1:6" x14ac:dyDescent="0.2">
      <c r="A46">
        <v>19</v>
      </c>
      <c r="B46" t="s">
        <v>1595</v>
      </c>
      <c r="C46" t="s">
        <v>1914</v>
      </c>
      <c r="D46" t="s">
        <v>1915</v>
      </c>
      <c r="E46" t="s">
        <v>1916</v>
      </c>
      <c r="F46" t="s">
        <v>1917</v>
      </c>
    </row>
    <row r="47" spans="1:6" x14ac:dyDescent="0.2">
      <c r="A47">
        <v>20</v>
      </c>
      <c r="B47" t="s">
        <v>1577</v>
      </c>
      <c r="C47" t="s">
        <v>1918</v>
      </c>
      <c r="D47" t="s">
        <v>1919</v>
      </c>
      <c r="E47" t="s">
        <v>1920</v>
      </c>
      <c r="F47" t="s">
        <v>1921</v>
      </c>
    </row>
    <row r="48" spans="1:6" x14ac:dyDescent="0.2">
      <c r="A48">
        <v>21</v>
      </c>
      <c r="B48" t="s">
        <v>1577</v>
      </c>
      <c r="C48" t="s">
        <v>1922</v>
      </c>
      <c r="D48" t="s">
        <v>1923</v>
      </c>
      <c r="E48" t="s">
        <v>1924</v>
      </c>
      <c r="F48" t="s">
        <v>1925</v>
      </c>
    </row>
    <row r="49" spans="1:6" x14ac:dyDescent="0.2">
      <c r="A49">
        <v>22</v>
      </c>
      <c r="B49" t="s">
        <v>1754</v>
      </c>
      <c r="C49" t="s">
        <v>1926</v>
      </c>
      <c r="D49" t="s">
        <v>1927</v>
      </c>
      <c r="E49" t="s">
        <v>1928</v>
      </c>
      <c r="F49" t="s">
        <v>1929</v>
      </c>
    </row>
    <row r="52" spans="1:6" ht="18" x14ac:dyDescent="0.25">
      <c r="A52" s="833" t="s">
        <v>6807</v>
      </c>
    </row>
    <row r="53" spans="1:6" x14ac:dyDescent="0.2">
      <c r="A53" s="734" t="s">
        <v>6808</v>
      </c>
    </row>
    <row r="55" spans="1:6" x14ac:dyDescent="0.2">
      <c r="A55" s="609" t="s">
        <v>6355</v>
      </c>
    </row>
    <row r="56" spans="1:6" x14ac:dyDescent="0.2">
      <c r="A56" t="s">
        <v>6809</v>
      </c>
    </row>
    <row r="57" spans="1:6" x14ac:dyDescent="0.2">
      <c r="A57" s="759" t="s">
        <v>6810</v>
      </c>
    </row>
    <row r="58" spans="1:6" x14ac:dyDescent="0.2">
      <c r="A58" t="s">
        <v>6811</v>
      </c>
    </row>
    <row r="60" spans="1:6" x14ac:dyDescent="0.2">
      <c r="A60" s="609" t="s">
        <v>6359</v>
      </c>
    </row>
    <row r="61" spans="1:6" x14ac:dyDescent="0.2">
      <c r="A61" t="s">
        <v>6812</v>
      </c>
    </row>
    <row r="62" spans="1:6" x14ac:dyDescent="0.2">
      <c r="A62" t="s">
        <v>6813</v>
      </c>
    </row>
    <row r="63" spans="1:6" x14ac:dyDescent="0.2">
      <c r="A63" t="s">
        <v>6814</v>
      </c>
    </row>
    <row r="65" spans="1:1" x14ac:dyDescent="0.2">
      <c r="A65" s="609" t="s">
        <v>6654</v>
      </c>
    </row>
    <row r="66" spans="1:1" x14ac:dyDescent="0.2">
      <c r="A66" t="s">
        <v>6815</v>
      </c>
    </row>
    <row r="67" spans="1:1" x14ac:dyDescent="0.2">
      <c r="A67" t="s">
        <v>6816</v>
      </c>
    </row>
    <row r="69" spans="1:1" x14ac:dyDescent="0.2">
      <c r="A69" s="609" t="s">
        <v>6658</v>
      </c>
    </row>
    <row r="70" spans="1:1" x14ac:dyDescent="0.2">
      <c r="A70" t="s">
        <v>6817</v>
      </c>
    </row>
    <row r="71" spans="1:1" x14ac:dyDescent="0.2">
      <c r="A71" t="s">
        <v>6818</v>
      </c>
    </row>
    <row r="73" spans="1:1" x14ac:dyDescent="0.2">
      <c r="A73" s="609" t="s">
        <v>6661</v>
      </c>
    </row>
    <row r="74" spans="1:1" x14ac:dyDescent="0.2">
      <c r="A74" t="s">
        <v>6493</v>
      </c>
    </row>
    <row r="75" spans="1:1" x14ac:dyDescent="0.2">
      <c r="A75" t="s">
        <v>6819</v>
      </c>
    </row>
    <row r="76" spans="1:1" x14ac:dyDescent="0.2">
      <c r="A76" t="s">
        <v>6820</v>
      </c>
    </row>
    <row r="78" spans="1:1" x14ac:dyDescent="0.2">
      <c r="A78" s="609" t="s">
        <v>6682</v>
      </c>
    </row>
    <row r="79" spans="1:1" x14ac:dyDescent="0.2">
      <c r="A79" t="s">
        <v>6821</v>
      </c>
    </row>
    <row r="95" spans="1:1" ht="18" x14ac:dyDescent="0.25">
      <c r="A95" s="838" t="s">
        <v>7316</v>
      </c>
    </row>
    <row r="96" spans="1:1" x14ac:dyDescent="0.2">
      <c r="A96" s="734" t="s">
        <v>7246</v>
      </c>
    </row>
    <row r="98" spans="1:1" x14ac:dyDescent="0.2">
      <c r="A98" s="839" t="s">
        <v>7247</v>
      </c>
    </row>
    <row r="99" spans="1:1" x14ac:dyDescent="0.2">
      <c r="A99" s="842" t="s">
        <v>7317</v>
      </c>
    </row>
    <row r="100" spans="1:1" x14ac:dyDescent="0.2">
      <c r="A100" t="s">
        <v>7318</v>
      </c>
    </row>
    <row r="102" spans="1:1" x14ac:dyDescent="0.2">
      <c r="A102" s="839" t="s">
        <v>7319</v>
      </c>
    </row>
    <row r="103" spans="1:1" x14ac:dyDescent="0.2">
      <c r="A103" s="842" t="s">
        <v>7298</v>
      </c>
    </row>
    <row r="104" spans="1:1" x14ac:dyDescent="0.2">
      <c r="A104" t="s">
        <v>7320</v>
      </c>
    </row>
    <row r="106" spans="1:1" x14ac:dyDescent="0.2">
      <c r="A106" s="839" t="s">
        <v>7321</v>
      </c>
    </row>
    <row r="107" spans="1:1" x14ac:dyDescent="0.2">
      <c r="A107" t="s">
        <v>7322</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D672C-3E8D-483F-81FD-240B141F9EA2}">
  <dimension ref="A1:K226"/>
  <sheetViews>
    <sheetView workbookViewId="0">
      <pane ySplit="13" topLeftCell="A141" activePane="bottomLeft" state="frozen"/>
      <selection pane="bottomLeft"/>
    </sheetView>
  </sheetViews>
  <sheetFormatPr defaultRowHeight="12.75" x14ac:dyDescent="0.2"/>
  <cols>
    <col min="1" max="1" width="137.140625" customWidth="1"/>
    <col min="2" max="2" width="38.140625" customWidth="1"/>
    <col min="3" max="3" width="22.85546875" customWidth="1"/>
    <col min="4" max="4" width="15.28515625" customWidth="1"/>
    <col min="5" max="5" width="19" customWidth="1"/>
    <col min="6" max="6" width="24.7109375" customWidth="1"/>
    <col min="7" max="7" width="11.42578125" customWidth="1"/>
    <col min="8" max="9" width="15.28515625" customWidth="1"/>
    <col min="10" max="10" width="13.28515625" customWidth="1"/>
    <col min="11" max="11" width="11.42578125" customWidth="1"/>
  </cols>
  <sheetData>
    <row r="1" spans="1:11" ht="18" x14ac:dyDescent="0.25">
      <c r="A1" s="470" t="s">
        <v>1930</v>
      </c>
    </row>
    <row r="2" spans="1:11" x14ac:dyDescent="0.2">
      <c r="A2" s="537" t="s">
        <v>1931</v>
      </c>
    </row>
    <row r="4" spans="1:11" ht="15.75" x14ac:dyDescent="0.25">
      <c r="A4" s="660" t="s">
        <v>1443</v>
      </c>
    </row>
    <row r="5" spans="1:11" x14ac:dyDescent="0.2">
      <c r="A5" s="472" t="s">
        <v>1932</v>
      </c>
      <c r="B5" s="565">
        <v>5</v>
      </c>
      <c r="C5" s="598" t="s">
        <v>1933</v>
      </c>
    </row>
    <row r="6" spans="1:11" x14ac:dyDescent="0.2">
      <c r="A6" s="472" t="s">
        <v>1934</v>
      </c>
      <c r="B6" s="565">
        <v>49</v>
      </c>
      <c r="C6" s="598" t="s">
        <v>1935</v>
      </c>
    </row>
    <row r="7" spans="1:11" x14ac:dyDescent="0.2">
      <c r="A7" s="472" t="s">
        <v>1936</v>
      </c>
      <c r="B7" s="565">
        <v>10</v>
      </c>
      <c r="C7" s="598" t="s">
        <v>1937</v>
      </c>
    </row>
    <row r="8" spans="1:11" x14ac:dyDescent="0.2">
      <c r="A8" s="472" t="s">
        <v>1938</v>
      </c>
      <c r="B8" s="565">
        <v>16</v>
      </c>
      <c r="C8" s="598" t="s">
        <v>1939</v>
      </c>
    </row>
    <row r="9" spans="1:11" x14ac:dyDescent="0.2">
      <c r="A9" s="472" t="s">
        <v>1940</v>
      </c>
      <c r="B9" s="701">
        <v>4.1549999999999997E-2</v>
      </c>
    </row>
    <row r="10" spans="1:11" x14ac:dyDescent="0.2">
      <c r="A10" s="472" t="s">
        <v>1941</v>
      </c>
      <c r="B10" s="565">
        <v>2.5</v>
      </c>
      <c r="C10" s="598" t="s">
        <v>1942</v>
      </c>
    </row>
    <row r="11" spans="1:11" x14ac:dyDescent="0.2">
      <c r="A11" s="472" t="s">
        <v>1943</v>
      </c>
      <c r="B11" s="565">
        <v>25</v>
      </c>
      <c r="C11" s="598" t="s">
        <v>1944</v>
      </c>
    </row>
    <row r="12" spans="1:11" ht="15.75" x14ac:dyDescent="0.25">
      <c r="A12" s="663" t="s">
        <v>1950</v>
      </c>
      <c r="C12" s="708" t="s">
        <v>1958</v>
      </c>
    </row>
    <row r="13" spans="1:11" x14ac:dyDescent="0.2">
      <c r="A13" s="486" t="s">
        <v>610</v>
      </c>
      <c r="B13" s="486" t="s">
        <v>785</v>
      </c>
      <c r="C13" s="486" t="s">
        <v>1945</v>
      </c>
      <c r="D13" s="486" t="s">
        <v>1272</v>
      </c>
      <c r="E13" s="486" t="s">
        <v>1368</v>
      </c>
      <c r="F13" s="486" t="s">
        <v>1946</v>
      </c>
      <c r="G13" s="486" t="s">
        <v>1188</v>
      </c>
      <c r="H13" s="486" t="s">
        <v>1947</v>
      </c>
      <c r="I13" s="486" t="s">
        <v>1948</v>
      </c>
      <c r="J13" s="486" t="s">
        <v>1949</v>
      </c>
      <c r="K13" s="486" t="s">
        <v>1246</v>
      </c>
    </row>
    <row r="14" spans="1:11" x14ac:dyDescent="0.2">
      <c r="A14">
        <v>1</v>
      </c>
      <c r="B14" t="s">
        <v>61</v>
      </c>
      <c r="C14">
        <v>6</v>
      </c>
      <c r="D14">
        <v>93</v>
      </c>
      <c r="E14" s="469">
        <f t="shared" ref="E14:E47" si="0">440*2^((D14-69)/12)</f>
        <v>1760</v>
      </c>
      <c r="F14" s="565">
        <v>4</v>
      </c>
      <c r="G14" t="s">
        <v>1951</v>
      </c>
      <c r="H14" s="648">
        <f t="shared" ref="H14:H47" si="1">2*SQRT(($B$7+(A14-1)*($B$8-$B$7)/33)*386.4/(IF(A14&gt;=$B$11,$B$9*$B$10,$B$9)*PI()*4*F14^2*E14^2))</f>
        <v>2.4439113555487866E-2</v>
      </c>
      <c r="I14" s="481">
        <f t="shared" ref="I14:I47" si="2">IF(A14&gt;=$B$11,$B$9*$B$10,$B$9)*PI()*(H14/2)^2*4*F14^2*E14^2/386.4</f>
        <v>9.9999999999999982</v>
      </c>
      <c r="J14" s="702">
        <f t="shared" ref="J14:J47" si="3">IF(A14&gt;=$B$11,$B$9*$B$10,$B$9)*4*F14^2*E14^2/(44600*386.4)</f>
        <v>0.47797409687212761</v>
      </c>
      <c r="K14" t="s">
        <v>1952</v>
      </c>
    </row>
    <row r="15" spans="1:11" x14ac:dyDescent="0.2">
      <c r="A15">
        <v>2</v>
      </c>
      <c r="B15" t="s">
        <v>64</v>
      </c>
      <c r="C15">
        <v>6</v>
      </c>
      <c r="D15">
        <v>91</v>
      </c>
      <c r="E15" s="469">
        <f t="shared" si="0"/>
        <v>1567.9817439269968</v>
      </c>
      <c r="F15" s="565">
        <v>4.8</v>
      </c>
      <c r="G15" t="s">
        <v>1951</v>
      </c>
      <c r="H15" s="648">
        <f t="shared" si="1"/>
        <v>2.306686309186649E-2</v>
      </c>
      <c r="I15" s="481">
        <f t="shared" si="2"/>
        <v>10.181818181818182</v>
      </c>
      <c r="J15" s="702">
        <f t="shared" si="3"/>
        <v>0.54629034061562298</v>
      </c>
      <c r="K15" t="s">
        <v>1952</v>
      </c>
    </row>
    <row r="16" spans="1:11" x14ac:dyDescent="0.2">
      <c r="A16">
        <v>3</v>
      </c>
      <c r="B16" s="704" t="s">
        <v>79</v>
      </c>
      <c r="C16">
        <v>6</v>
      </c>
      <c r="D16">
        <v>89</v>
      </c>
      <c r="E16" s="469">
        <f t="shared" si="0"/>
        <v>1396.9129257320155</v>
      </c>
      <c r="F16" s="565">
        <v>5.5</v>
      </c>
      <c r="G16" t="s">
        <v>1951</v>
      </c>
      <c r="H16" s="648">
        <f t="shared" si="1"/>
        <v>2.2797234478046165E-2</v>
      </c>
      <c r="I16" s="481">
        <f t="shared" si="2"/>
        <v>10.363636363636363</v>
      </c>
      <c r="J16" s="702">
        <f t="shared" si="3"/>
        <v>0.56927628703434274</v>
      </c>
      <c r="K16" s="703" t="s">
        <v>1953</v>
      </c>
    </row>
    <row r="17" spans="1:11" x14ac:dyDescent="0.2">
      <c r="A17">
        <v>4</v>
      </c>
      <c r="B17" t="s">
        <v>76</v>
      </c>
      <c r="C17">
        <v>6</v>
      </c>
      <c r="D17">
        <v>88</v>
      </c>
      <c r="E17" s="469">
        <f t="shared" si="0"/>
        <v>1318.5102276514795</v>
      </c>
      <c r="F17" s="565">
        <v>6.2</v>
      </c>
      <c r="G17" t="s">
        <v>1951</v>
      </c>
      <c r="H17" s="648">
        <f t="shared" si="1"/>
        <v>2.1613025608594086E-2</v>
      </c>
      <c r="I17" s="481">
        <f t="shared" si="2"/>
        <v>10.545454545454545</v>
      </c>
      <c r="J17" s="702">
        <f t="shared" si="3"/>
        <v>0.64447997530646051</v>
      </c>
      <c r="K17" t="s">
        <v>1952</v>
      </c>
    </row>
    <row r="18" spans="1:11" x14ac:dyDescent="0.2">
      <c r="A18">
        <v>5</v>
      </c>
      <c r="B18" t="s">
        <v>159</v>
      </c>
      <c r="C18">
        <v>6</v>
      </c>
      <c r="D18">
        <v>86</v>
      </c>
      <c r="E18" s="469">
        <f t="shared" si="0"/>
        <v>1174.6590716696303</v>
      </c>
      <c r="F18" s="565">
        <v>7</v>
      </c>
      <c r="G18" t="s">
        <v>1951</v>
      </c>
      <c r="H18" s="648">
        <f t="shared" si="1"/>
        <v>2.1671695626632913E-2</v>
      </c>
      <c r="I18" s="481">
        <f t="shared" si="2"/>
        <v>10.727272727272723</v>
      </c>
      <c r="J18" s="702">
        <f t="shared" si="3"/>
        <v>0.65204684375548683</v>
      </c>
      <c r="K18" t="s">
        <v>1952</v>
      </c>
    </row>
    <row r="19" spans="1:11" x14ac:dyDescent="0.2">
      <c r="A19">
        <v>6</v>
      </c>
      <c r="B19" s="691" t="s">
        <v>73</v>
      </c>
      <c r="C19">
        <v>6</v>
      </c>
      <c r="D19">
        <v>84</v>
      </c>
      <c r="E19" s="469">
        <f t="shared" si="0"/>
        <v>1046.5022612023945</v>
      </c>
      <c r="F19" s="565">
        <v>8</v>
      </c>
      <c r="G19" t="s">
        <v>1951</v>
      </c>
      <c r="H19" s="648">
        <f t="shared" si="1"/>
        <v>2.1464571886780449E-2</v>
      </c>
      <c r="I19" s="481">
        <f t="shared" si="2"/>
        <v>10.909090909090908</v>
      </c>
      <c r="J19" s="702">
        <f t="shared" si="3"/>
        <v>0.67595745025959431</v>
      </c>
      <c r="K19" s="556" t="s">
        <v>1261</v>
      </c>
    </row>
    <row r="20" spans="1:11" x14ac:dyDescent="0.2">
      <c r="A20">
        <v>7</v>
      </c>
      <c r="B20" t="s">
        <v>70</v>
      </c>
      <c r="C20">
        <v>5</v>
      </c>
      <c r="D20">
        <v>83</v>
      </c>
      <c r="E20" s="469">
        <f t="shared" si="0"/>
        <v>987.76660251224826</v>
      </c>
      <c r="F20" s="565">
        <v>8.8000000000000007</v>
      </c>
      <c r="G20" t="s">
        <v>1951</v>
      </c>
      <c r="H20" s="648">
        <f t="shared" si="1"/>
        <v>2.08451330259584E-2</v>
      </c>
      <c r="I20" s="481">
        <f t="shared" si="2"/>
        <v>11.090909090909093</v>
      </c>
      <c r="J20" s="702">
        <f t="shared" si="3"/>
        <v>0.72867364740395879</v>
      </c>
      <c r="K20" t="s">
        <v>1952</v>
      </c>
    </row>
    <row r="21" spans="1:11" x14ac:dyDescent="0.2">
      <c r="A21">
        <v>8</v>
      </c>
      <c r="B21" t="s">
        <v>61</v>
      </c>
      <c r="C21">
        <v>5</v>
      </c>
      <c r="D21">
        <v>81</v>
      </c>
      <c r="E21" s="469">
        <f t="shared" si="0"/>
        <v>880</v>
      </c>
      <c r="F21" s="565">
        <v>9.8000000000000007</v>
      </c>
      <c r="G21" t="s">
        <v>1951</v>
      </c>
      <c r="H21" s="648">
        <f t="shared" si="1"/>
        <v>2.1181848653033249E-2</v>
      </c>
      <c r="I21" s="481">
        <f t="shared" si="2"/>
        <v>11.272727272727273</v>
      </c>
      <c r="J21" s="702">
        <f t="shared" si="3"/>
        <v>0.71725987911873668</v>
      </c>
      <c r="K21" t="s">
        <v>1952</v>
      </c>
    </row>
    <row r="22" spans="1:11" x14ac:dyDescent="0.2">
      <c r="A22">
        <v>9</v>
      </c>
      <c r="B22" t="s">
        <v>64</v>
      </c>
      <c r="C22">
        <v>5</v>
      </c>
      <c r="D22">
        <v>79</v>
      </c>
      <c r="E22" s="469">
        <f t="shared" si="0"/>
        <v>783.99087196349853</v>
      </c>
      <c r="F22" s="565">
        <v>10.8</v>
      </c>
      <c r="G22" t="s">
        <v>1951</v>
      </c>
      <c r="H22" s="648">
        <f t="shared" si="1"/>
        <v>2.1747647083947313E-2</v>
      </c>
      <c r="I22" s="481">
        <f t="shared" si="2"/>
        <v>11.454545454545455</v>
      </c>
      <c r="J22" s="702">
        <f t="shared" si="3"/>
        <v>0.69139871234164796</v>
      </c>
      <c r="K22" t="s">
        <v>1952</v>
      </c>
    </row>
    <row r="23" spans="1:11" x14ac:dyDescent="0.2">
      <c r="A23">
        <v>10</v>
      </c>
      <c r="B23" s="704" t="s">
        <v>79</v>
      </c>
      <c r="C23">
        <v>5</v>
      </c>
      <c r="D23">
        <v>77</v>
      </c>
      <c r="E23" s="469">
        <f t="shared" si="0"/>
        <v>698.45646286600777</v>
      </c>
      <c r="F23" s="565">
        <v>11.8</v>
      </c>
      <c r="G23" t="s">
        <v>1951</v>
      </c>
      <c r="H23" s="648">
        <f t="shared" si="1"/>
        <v>2.2518808264100382E-2</v>
      </c>
      <c r="I23" s="481">
        <f t="shared" si="2"/>
        <v>11.636363636363633</v>
      </c>
      <c r="J23" s="702">
        <f t="shared" si="3"/>
        <v>0.65509115873274282</v>
      </c>
      <c r="K23" s="703" t="s">
        <v>1953</v>
      </c>
    </row>
    <row r="24" spans="1:11" x14ac:dyDescent="0.2">
      <c r="A24">
        <v>11</v>
      </c>
      <c r="B24" t="s">
        <v>76</v>
      </c>
      <c r="C24">
        <v>5</v>
      </c>
      <c r="D24">
        <v>76</v>
      </c>
      <c r="E24" s="469">
        <f t="shared" si="0"/>
        <v>659.25511382573984</v>
      </c>
      <c r="F24" s="565">
        <v>12.8</v>
      </c>
      <c r="G24" t="s">
        <v>1951</v>
      </c>
      <c r="H24" s="648">
        <f t="shared" si="1"/>
        <v>2.2165113785073926E-2</v>
      </c>
      <c r="I24" s="481">
        <f t="shared" si="2"/>
        <v>11.818181818181815</v>
      </c>
      <c r="J24" s="702">
        <f t="shared" si="3"/>
        <v>0.68672996328180624</v>
      </c>
      <c r="K24" t="s">
        <v>1952</v>
      </c>
    </row>
    <row r="25" spans="1:11" x14ac:dyDescent="0.2">
      <c r="A25">
        <v>12</v>
      </c>
      <c r="B25" t="s">
        <v>159</v>
      </c>
      <c r="C25">
        <v>5</v>
      </c>
      <c r="D25">
        <v>74</v>
      </c>
      <c r="E25" s="469">
        <f t="shared" si="0"/>
        <v>587.32953583481515</v>
      </c>
      <c r="F25" s="565">
        <v>13.8</v>
      </c>
      <c r="G25" t="s">
        <v>1951</v>
      </c>
      <c r="H25" s="648">
        <f t="shared" si="1"/>
        <v>2.3253471824078078E-2</v>
      </c>
      <c r="I25" s="481">
        <f t="shared" si="2"/>
        <v>11.999999999999996</v>
      </c>
      <c r="J25" s="702">
        <f t="shared" si="3"/>
        <v>0.63355000471834155</v>
      </c>
      <c r="K25" t="s">
        <v>1952</v>
      </c>
    </row>
    <row r="26" spans="1:11" x14ac:dyDescent="0.2">
      <c r="A26">
        <v>13</v>
      </c>
      <c r="B26" s="691" t="s">
        <v>73</v>
      </c>
      <c r="C26">
        <v>5</v>
      </c>
      <c r="D26">
        <v>72</v>
      </c>
      <c r="E26" s="469">
        <f t="shared" si="0"/>
        <v>523.25113060119725</v>
      </c>
      <c r="F26" s="565">
        <v>14.8</v>
      </c>
      <c r="G26" t="s">
        <v>1951</v>
      </c>
      <c r="H26" s="648">
        <f t="shared" si="1"/>
        <v>2.4521231321175622E-2</v>
      </c>
      <c r="I26" s="481">
        <f t="shared" si="2"/>
        <v>12.181818181818182</v>
      </c>
      <c r="J26" s="702">
        <f t="shared" si="3"/>
        <v>0.57836609337836542</v>
      </c>
      <c r="K26" s="556" t="s">
        <v>1261</v>
      </c>
    </row>
    <row r="27" spans="1:11" x14ac:dyDescent="0.2">
      <c r="A27">
        <v>14</v>
      </c>
      <c r="B27" t="s">
        <v>70</v>
      </c>
      <c r="C27">
        <v>4</v>
      </c>
      <c r="D27">
        <v>71</v>
      </c>
      <c r="E27" s="469">
        <f t="shared" si="0"/>
        <v>493.88330125612413</v>
      </c>
      <c r="F27" s="565">
        <v>15.8</v>
      </c>
      <c r="G27" t="s">
        <v>1951</v>
      </c>
      <c r="H27" s="648">
        <f t="shared" si="1"/>
        <v>2.4516010048467197E-2</v>
      </c>
      <c r="I27" s="481">
        <f t="shared" si="2"/>
        <v>12.363636363636367</v>
      </c>
      <c r="J27" s="702">
        <f t="shared" si="3"/>
        <v>0.587248480558898</v>
      </c>
      <c r="K27" t="s">
        <v>1952</v>
      </c>
    </row>
    <row r="28" spans="1:11" x14ac:dyDescent="0.2">
      <c r="A28" s="551">
        <v>15</v>
      </c>
      <c r="B28" s="551" t="s">
        <v>61</v>
      </c>
      <c r="C28" s="551">
        <v>4</v>
      </c>
      <c r="D28" s="551">
        <v>69</v>
      </c>
      <c r="E28" s="665">
        <f t="shared" si="0"/>
        <v>440</v>
      </c>
      <c r="F28" s="565">
        <v>17</v>
      </c>
      <c r="G28" s="551" t="s">
        <v>1951</v>
      </c>
      <c r="H28" s="705">
        <f t="shared" si="1"/>
        <v>2.5763194439125382E-2</v>
      </c>
      <c r="I28" s="666">
        <f t="shared" si="2"/>
        <v>12.545454545454545</v>
      </c>
      <c r="J28" s="706">
        <f t="shared" si="3"/>
        <v>0.53958794529705034</v>
      </c>
      <c r="K28" s="551" t="s">
        <v>1952</v>
      </c>
    </row>
    <row r="29" spans="1:11" x14ac:dyDescent="0.2">
      <c r="A29">
        <v>16</v>
      </c>
      <c r="B29" t="s">
        <v>64</v>
      </c>
      <c r="C29">
        <v>4</v>
      </c>
      <c r="D29">
        <v>67</v>
      </c>
      <c r="E29" s="469">
        <f t="shared" si="0"/>
        <v>391.99543598174927</v>
      </c>
      <c r="F29" s="565">
        <v>18.2</v>
      </c>
      <c r="G29" t="s">
        <v>1951</v>
      </c>
      <c r="H29" s="648">
        <f t="shared" si="1"/>
        <v>2.720654447530256E-2</v>
      </c>
      <c r="I29" s="481">
        <f t="shared" si="2"/>
        <v>12.727272727272727</v>
      </c>
      <c r="J29" s="702">
        <f t="shared" si="3"/>
        <v>0.49086700419248858</v>
      </c>
      <c r="K29" t="s">
        <v>1952</v>
      </c>
    </row>
    <row r="30" spans="1:11" x14ac:dyDescent="0.2">
      <c r="A30">
        <v>17</v>
      </c>
      <c r="B30" s="704" t="s">
        <v>79</v>
      </c>
      <c r="C30">
        <v>4</v>
      </c>
      <c r="D30">
        <v>65</v>
      </c>
      <c r="E30" s="469">
        <f t="shared" si="0"/>
        <v>349.22823143300388</v>
      </c>
      <c r="F30" s="565">
        <v>19.5</v>
      </c>
      <c r="G30" t="s">
        <v>1951</v>
      </c>
      <c r="H30" s="648">
        <f t="shared" si="1"/>
        <v>2.8705292865790592E-2</v>
      </c>
      <c r="I30" s="481">
        <f t="shared" si="2"/>
        <v>12.909090909090912</v>
      </c>
      <c r="J30" s="702">
        <f t="shared" si="3"/>
        <v>0.44724650443142316</v>
      </c>
      <c r="K30" s="703" t="s">
        <v>1953</v>
      </c>
    </row>
    <row r="31" spans="1:11" x14ac:dyDescent="0.2">
      <c r="A31">
        <v>18</v>
      </c>
      <c r="B31" t="s">
        <v>76</v>
      </c>
      <c r="C31">
        <v>4</v>
      </c>
      <c r="D31">
        <v>64</v>
      </c>
      <c r="E31" s="469">
        <f t="shared" si="0"/>
        <v>329.62755691286992</v>
      </c>
      <c r="F31" s="565">
        <v>20.8</v>
      </c>
      <c r="G31" t="s">
        <v>1951</v>
      </c>
      <c r="H31" s="648">
        <f t="shared" si="1"/>
        <v>2.8711518711215068E-2</v>
      </c>
      <c r="I31" s="481">
        <f t="shared" si="2"/>
        <v>13.090909090909088</v>
      </c>
      <c r="J31" s="702">
        <f t="shared" si="3"/>
        <v>0.45334907732275492</v>
      </c>
      <c r="K31" t="s">
        <v>1952</v>
      </c>
    </row>
    <row r="32" spans="1:11" x14ac:dyDescent="0.2">
      <c r="A32">
        <v>19</v>
      </c>
      <c r="B32" t="s">
        <v>159</v>
      </c>
      <c r="C32">
        <v>4</v>
      </c>
      <c r="D32">
        <v>62</v>
      </c>
      <c r="E32" s="469">
        <f t="shared" si="0"/>
        <v>293.66476791740757</v>
      </c>
      <c r="F32" s="565">
        <v>22.2</v>
      </c>
      <c r="G32" t="s">
        <v>1951</v>
      </c>
      <c r="H32" s="648">
        <f t="shared" si="1"/>
        <v>3.0404185506140276E-2</v>
      </c>
      <c r="I32" s="481">
        <f t="shared" si="2"/>
        <v>13.272727272727275</v>
      </c>
      <c r="J32" s="702">
        <f t="shared" si="3"/>
        <v>0.40989128377098744</v>
      </c>
      <c r="K32" t="s">
        <v>1952</v>
      </c>
    </row>
    <row r="33" spans="1:11" x14ac:dyDescent="0.2">
      <c r="A33">
        <v>20</v>
      </c>
      <c r="B33" s="691" t="s">
        <v>73</v>
      </c>
      <c r="C33">
        <v>4</v>
      </c>
      <c r="D33">
        <v>60</v>
      </c>
      <c r="E33" s="469">
        <f t="shared" si="0"/>
        <v>261.62556530059862</v>
      </c>
      <c r="F33" s="565">
        <v>23.5</v>
      </c>
      <c r="G33" t="s">
        <v>1951</v>
      </c>
      <c r="H33" s="648">
        <f t="shared" si="1"/>
        <v>3.2459705972838884E-2</v>
      </c>
      <c r="I33" s="481">
        <f t="shared" si="2"/>
        <v>13.454545454545455</v>
      </c>
      <c r="J33" s="702">
        <f t="shared" si="3"/>
        <v>0.36454834170494232</v>
      </c>
      <c r="K33" s="556" t="s">
        <v>1261</v>
      </c>
    </row>
    <row r="34" spans="1:11" x14ac:dyDescent="0.2">
      <c r="A34">
        <v>21</v>
      </c>
      <c r="B34" t="s">
        <v>70</v>
      </c>
      <c r="C34">
        <v>3</v>
      </c>
      <c r="D34">
        <v>59</v>
      </c>
      <c r="E34" s="469">
        <f t="shared" si="0"/>
        <v>246.94165062806206</v>
      </c>
      <c r="F34" s="565">
        <v>25</v>
      </c>
      <c r="G34" t="s">
        <v>1951</v>
      </c>
      <c r="H34" s="648">
        <f t="shared" si="1"/>
        <v>3.2544158018942823E-2</v>
      </c>
      <c r="I34" s="481">
        <f t="shared" si="2"/>
        <v>13.636363636363637</v>
      </c>
      <c r="J34" s="702">
        <f t="shared" si="3"/>
        <v>0.36755958615337214</v>
      </c>
      <c r="K34" t="s">
        <v>1952</v>
      </c>
    </row>
    <row r="35" spans="1:11" x14ac:dyDescent="0.2">
      <c r="A35">
        <v>22</v>
      </c>
      <c r="B35" t="s">
        <v>61</v>
      </c>
      <c r="C35">
        <v>3</v>
      </c>
      <c r="D35">
        <v>57</v>
      </c>
      <c r="E35" s="469">
        <f t="shared" si="0"/>
        <v>220</v>
      </c>
      <c r="F35" s="565">
        <v>26.5</v>
      </c>
      <c r="G35" t="s">
        <v>1951</v>
      </c>
      <c r="H35" s="648">
        <f t="shared" si="1"/>
        <v>3.4690855110877057E-2</v>
      </c>
      <c r="I35" s="481">
        <f t="shared" si="2"/>
        <v>13.81818181818182</v>
      </c>
      <c r="J35" s="702">
        <f t="shared" si="3"/>
        <v>0.32779034133637858</v>
      </c>
      <c r="K35" t="s">
        <v>1952</v>
      </c>
    </row>
    <row r="36" spans="1:11" x14ac:dyDescent="0.2">
      <c r="A36">
        <v>23</v>
      </c>
      <c r="B36" t="s">
        <v>64</v>
      </c>
      <c r="C36">
        <v>3</v>
      </c>
      <c r="D36">
        <v>55</v>
      </c>
      <c r="E36" s="469">
        <f t="shared" si="0"/>
        <v>195.99771799087463</v>
      </c>
      <c r="F36" s="565">
        <v>28</v>
      </c>
      <c r="G36" t="s">
        <v>1951</v>
      </c>
      <c r="H36" s="648">
        <f t="shared" si="1"/>
        <v>3.7094803945981698E-2</v>
      </c>
      <c r="I36" s="481">
        <f t="shared" si="2"/>
        <v>14</v>
      </c>
      <c r="J36" s="702">
        <f t="shared" si="3"/>
        <v>0.2904538486346086</v>
      </c>
      <c r="K36" t="s">
        <v>1952</v>
      </c>
    </row>
    <row r="37" spans="1:11" x14ac:dyDescent="0.2">
      <c r="A37">
        <v>24</v>
      </c>
      <c r="B37" s="704" t="s">
        <v>79</v>
      </c>
      <c r="C37">
        <v>3</v>
      </c>
      <c r="D37">
        <v>53</v>
      </c>
      <c r="E37" s="469">
        <f t="shared" si="0"/>
        <v>174.61411571650197</v>
      </c>
      <c r="F37" s="565">
        <v>30</v>
      </c>
      <c r="G37" t="s">
        <v>1951</v>
      </c>
      <c r="H37" s="648">
        <f t="shared" si="1"/>
        <v>3.9113210151366963E-2</v>
      </c>
      <c r="I37" s="481">
        <f t="shared" si="2"/>
        <v>14.18181818181818</v>
      </c>
      <c r="J37" s="702">
        <f t="shared" si="3"/>
        <v>0.26464290203042801</v>
      </c>
      <c r="K37" s="703" t="s">
        <v>1953</v>
      </c>
    </row>
    <row r="38" spans="1:11" x14ac:dyDescent="0.2">
      <c r="A38">
        <v>25</v>
      </c>
      <c r="B38" t="s">
        <v>76</v>
      </c>
      <c r="C38">
        <v>3</v>
      </c>
      <c r="D38">
        <v>52</v>
      </c>
      <c r="E38" s="469">
        <f t="shared" si="0"/>
        <v>164.81377845643496</v>
      </c>
      <c r="F38" s="565">
        <v>31.5</v>
      </c>
      <c r="G38" t="s">
        <v>1954</v>
      </c>
      <c r="H38" s="648">
        <f t="shared" si="1"/>
        <v>2.5119803353711497E-2</v>
      </c>
      <c r="I38" s="481">
        <f t="shared" si="2"/>
        <v>14.363636363636365</v>
      </c>
      <c r="J38" s="702">
        <f t="shared" si="3"/>
        <v>0.64984112364423008</v>
      </c>
      <c r="K38" t="s">
        <v>1952</v>
      </c>
    </row>
    <row r="39" spans="1:11" x14ac:dyDescent="0.2">
      <c r="A39">
        <v>26</v>
      </c>
      <c r="B39" t="s">
        <v>159</v>
      </c>
      <c r="C39">
        <v>3</v>
      </c>
      <c r="D39">
        <v>50</v>
      </c>
      <c r="E39" s="469">
        <f t="shared" si="0"/>
        <v>146.83238395870382</v>
      </c>
      <c r="F39" s="565">
        <v>33.5</v>
      </c>
      <c r="G39" t="s">
        <v>1954</v>
      </c>
      <c r="H39" s="648">
        <f t="shared" si="1"/>
        <v>2.6679955189468568E-2</v>
      </c>
      <c r="I39" s="481">
        <f t="shared" si="2"/>
        <v>14.545454545454549</v>
      </c>
      <c r="J39" s="702">
        <f t="shared" si="3"/>
        <v>0.58335424936590841</v>
      </c>
      <c r="K39" t="s">
        <v>1952</v>
      </c>
    </row>
    <row r="40" spans="1:11" x14ac:dyDescent="0.2">
      <c r="A40">
        <v>27</v>
      </c>
      <c r="B40" s="691" t="s">
        <v>73</v>
      </c>
      <c r="C40">
        <v>3</v>
      </c>
      <c r="D40">
        <v>48</v>
      </c>
      <c r="E40" s="469">
        <f t="shared" si="0"/>
        <v>130.81278265029931</v>
      </c>
      <c r="F40" s="565">
        <v>35.5</v>
      </c>
      <c r="G40" t="s">
        <v>1954</v>
      </c>
      <c r="H40" s="648">
        <f t="shared" si="1"/>
        <v>2.8436145759495688E-2</v>
      </c>
      <c r="I40" s="481">
        <f t="shared" si="2"/>
        <v>14.727272727272728</v>
      </c>
      <c r="J40" s="702">
        <f t="shared" si="3"/>
        <v>0.51994346721780627</v>
      </c>
      <c r="K40" s="556" t="s">
        <v>1261</v>
      </c>
    </row>
    <row r="41" spans="1:11" x14ac:dyDescent="0.2">
      <c r="A41">
        <v>28</v>
      </c>
      <c r="B41" t="s">
        <v>70</v>
      </c>
      <c r="C41">
        <v>2</v>
      </c>
      <c r="D41">
        <v>47</v>
      </c>
      <c r="E41" s="469">
        <f t="shared" si="0"/>
        <v>123.47082531403106</v>
      </c>
      <c r="F41" s="565">
        <v>37.5</v>
      </c>
      <c r="G41" t="s">
        <v>1954</v>
      </c>
      <c r="H41" s="648">
        <f t="shared" si="1"/>
        <v>2.8695782156597977E-2</v>
      </c>
      <c r="I41" s="481">
        <f t="shared" si="2"/>
        <v>14.90909090909091</v>
      </c>
      <c r="J41" s="702">
        <f t="shared" si="3"/>
        <v>0.51688066802817989</v>
      </c>
      <c r="K41" t="s">
        <v>1952</v>
      </c>
    </row>
    <row r="42" spans="1:11" x14ac:dyDescent="0.2">
      <c r="A42">
        <v>29</v>
      </c>
      <c r="B42" t="s">
        <v>61</v>
      </c>
      <c r="C42">
        <v>2</v>
      </c>
      <c r="D42">
        <v>45</v>
      </c>
      <c r="E42" s="469">
        <f t="shared" si="0"/>
        <v>110</v>
      </c>
      <c r="F42" s="565">
        <v>39.5</v>
      </c>
      <c r="G42" t="s">
        <v>1954</v>
      </c>
      <c r="H42" s="648">
        <f t="shared" si="1"/>
        <v>3.0764936624688932E-2</v>
      </c>
      <c r="I42" s="481">
        <f t="shared" si="2"/>
        <v>15.090909090909092</v>
      </c>
      <c r="J42" s="702">
        <f t="shared" si="3"/>
        <v>0.45517522256148507</v>
      </c>
      <c r="K42" t="s">
        <v>1952</v>
      </c>
    </row>
    <row r="43" spans="1:11" x14ac:dyDescent="0.2">
      <c r="A43">
        <v>30</v>
      </c>
      <c r="B43" t="s">
        <v>64</v>
      </c>
      <c r="C43">
        <v>2</v>
      </c>
      <c r="D43">
        <v>43</v>
      </c>
      <c r="E43" s="469">
        <f t="shared" si="0"/>
        <v>97.998858995437345</v>
      </c>
      <c r="F43" s="565">
        <v>41.5</v>
      </c>
      <c r="G43" t="s">
        <v>1954</v>
      </c>
      <c r="H43" s="648">
        <f t="shared" si="1"/>
        <v>3.306566690694307E-2</v>
      </c>
      <c r="I43" s="481">
        <f t="shared" si="2"/>
        <v>15.272727272727273</v>
      </c>
      <c r="J43" s="702">
        <f t="shared" si="3"/>
        <v>0.39878359439648842</v>
      </c>
      <c r="K43" t="s">
        <v>1952</v>
      </c>
    </row>
    <row r="44" spans="1:11" x14ac:dyDescent="0.2">
      <c r="A44">
        <v>31</v>
      </c>
      <c r="B44" s="704" t="s">
        <v>79</v>
      </c>
      <c r="C44">
        <v>2</v>
      </c>
      <c r="D44">
        <v>41</v>
      </c>
      <c r="E44" s="469">
        <f t="shared" si="0"/>
        <v>87.307057858250957</v>
      </c>
      <c r="F44" s="565">
        <v>43.5</v>
      </c>
      <c r="G44" t="s">
        <v>1954</v>
      </c>
      <c r="H44" s="648">
        <f t="shared" si="1"/>
        <v>3.5618662875014417E-2</v>
      </c>
      <c r="I44" s="481">
        <f t="shared" si="2"/>
        <v>15.454545454545451</v>
      </c>
      <c r="J44" s="702">
        <f t="shared" si="3"/>
        <v>0.34775731344935912</v>
      </c>
      <c r="K44" s="703" t="s">
        <v>1953</v>
      </c>
    </row>
    <row r="45" spans="1:11" x14ac:dyDescent="0.2">
      <c r="A45">
        <v>32</v>
      </c>
      <c r="B45" t="s">
        <v>76</v>
      </c>
      <c r="C45">
        <v>2</v>
      </c>
      <c r="D45">
        <v>40</v>
      </c>
      <c r="E45" s="469">
        <f t="shared" si="0"/>
        <v>82.406889228217494</v>
      </c>
      <c r="F45" s="565">
        <v>45</v>
      </c>
      <c r="G45" t="s">
        <v>1954</v>
      </c>
      <c r="H45" s="648">
        <f t="shared" si="1"/>
        <v>3.6692723726037699E-2</v>
      </c>
      <c r="I45" s="481">
        <f t="shared" si="2"/>
        <v>15.63636363636364</v>
      </c>
      <c r="J45" s="702">
        <f t="shared" si="3"/>
        <v>0.33155159369603582</v>
      </c>
      <c r="K45" t="s">
        <v>1952</v>
      </c>
    </row>
    <row r="46" spans="1:11" x14ac:dyDescent="0.2">
      <c r="A46">
        <v>33</v>
      </c>
      <c r="B46" t="s">
        <v>159</v>
      </c>
      <c r="C46">
        <v>2</v>
      </c>
      <c r="D46">
        <v>38</v>
      </c>
      <c r="E46" s="469">
        <f t="shared" si="0"/>
        <v>73.416191979351879</v>
      </c>
      <c r="F46" s="565">
        <v>47</v>
      </c>
      <c r="G46" t="s">
        <v>1954</v>
      </c>
      <c r="H46" s="648">
        <f t="shared" si="1"/>
        <v>3.9662188422650763E-2</v>
      </c>
      <c r="I46" s="481">
        <f t="shared" si="2"/>
        <v>15.818181818181817</v>
      </c>
      <c r="J46" s="702">
        <f t="shared" si="3"/>
        <v>0.28706383088645365</v>
      </c>
      <c r="K46" t="s">
        <v>1952</v>
      </c>
    </row>
    <row r="47" spans="1:11" x14ac:dyDescent="0.2">
      <c r="A47">
        <v>34</v>
      </c>
      <c r="B47" s="691" t="s">
        <v>73</v>
      </c>
      <c r="C47">
        <v>2</v>
      </c>
      <c r="D47">
        <v>36</v>
      </c>
      <c r="E47" s="469">
        <f t="shared" si="0"/>
        <v>65.406391325149656</v>
      </c>
      <c r="F47" s="565">
        <v>49</v>
      </c>
      <c r="G47" t="s">
        <v>1954</v>
      </c>
      <c r="H47" s="648">
        <f t="shared" si="1"/>
        <v>4.2946900596585978E-2</v>
      </c>
      <c r="I47" s="481">
        <f t="shared" si="2"/>
        <v>16</v>
      </c>
      <c r="J47" s="702">
        <f t="shared" si="3"/>
        <v>0.24764615449116306</v>
      </c>
      <c r="K47" s="556" t="s">
        <v>1261</v>
      </c>
    </row>
    <row r="48" spans="1:11" x14ac:dyDescent="0.2">
      <c r="A48" s="484" t="s">
        <v>1955</v>
      </c>
      <c r="H48" s="472" t="s">
        <v>1956</v>
      </c>
      <c r="I48" s="707">
        <f>SUM(I14:I47)</f>
        <v>442</v>
      </c>
      <c r="J48" t="s">
        <v>1957</v>
      </c>
    </row>
    <row r="50" spans="1:6" ht="15.75" x14ac:dyDescent="0.25">
      <c r="A50" s="709" t="s">
        <v>1959</v>
      </c>
    </row>
    <row r="51" spans="1:6" x14ac:dyDescent="0.2">
      <c r="A51" s="472" t="s">
        <v>1960</v>
      </c>
      <c r="B51" s="710">
        <f>I48</f>
        <v>442</v>
      </c>
      <c r="C51" s="598" t="s">
        <v>1961</v>
      </c>
    </row>
    <row r="52" spans="1:6" x14ac:dyDescent="0.2">
      <c r="A52" s="472" t="s">
        <v>1962</v>
      </c>
      <c r="B52" s="710">
        <v>2</v>
      </c>
      <c r="C52" s="598" t="s">
        <v>1963</v>
      </c>
    </row>
    <row r="53" spans="1:6" x14ac:dyDescent="0.2">
      <c r="A53" s="472" t="s">
        <v>1964</v>
      </c>
      <c r="B53" s="710">
        <f>B51*B52</f>
        <v>884</v>
      </c>
      <c r="C53" s="598"/>
    </row>
    <row r="54" spans="1:6" x14ac:dyDescent="0.2">
      <c r="A54" s="472" t="s">
        <v>1965</v>
      </c>
      <c r="B54" s="710">
        <f>I48*30</f>
        <v>13260</v>
      </c>
      <c r="C54" s="598" t="s">
        <v>1966</v>
      </c>
    </row>
    <row r="55" spans="1:6" x14ac:dyDescent="0.2">
      <c r="A55" s="472" t="s">
        <v>1967</v>
      </c>
      <c r="B55" s="710">
        <f>B54/(8000*0.5)</f>
        <v>3.3149999999999999</v>
      </c>
      <c r="C55" s="598" t="s">
        <v>1968</v>
      </c>
    </row>
    <row r="56" spans="1:6" x14ac:dyDescent="0.2">
      <c r="A56" s="472" t="s">
        <v>1969</v>
      </c>
      <c r="B56" s="710">
        <f>I48*SIN(RADIANS(35))</f>
        <v>253.52078486716235</v>
      </c>
      <c r="C56" s="598" t="s">
        <v>1970</v>
      </c>
    </row>
    <row r="59" spans="1:6" ht="15.75" x14ac:dyDescent="0.25">
      <c r="A59" s="660" t="s">
        <v>1543</v>
      </c>
    </row>
    <row r="60" spans="1:6" x14ac:dyDescent="0.2">
      <c r="A60" s="484" t="s">
        <v>610</v>
      </c>
      <c r="B60" s="484" t="s">
        <v>1971</v>
      </c>
      <c r="C60" s="484" t="s">
        <v>1188</v>
      </c>
      <c r="D60" s="484" t="s">
        <v>1972</v>
      </c>
      <c r="E60" s="484" t="s">
        <v>1546</v>
      </c>
      <c r="F60" s="484" t="s">
        <v>2</v>
      </c>
    </row>
    <row r="61" spans="1:6" x14ac:dyDescent="0.2">
      <c r="A61">
        <v>1</v>
      </c>
      <c r="B61" s="472" t="s">
        <v>1973</v>
      </c>
      <c r="C61" t="s">
        <v>1974</v>
      </c>
      <c r="D61" t="s">
        <v>1975</v>
      </c>
      <c r="E61">
        <v>1</v>
      </c>
      <c r="F61" t="s">
        <v>1976</v>
      </c>
    </row>
    <row r="62" spans="1:6" x14ac:dyDescent="0.2">
      <c r="A62">
        <v>2</v>
      </c>
      <c r="B62" s="472" t="s">
        <v>1977</v>
      </c>
      <c r="C62" t="s">
        <v>1978</v>
      </c>
      <c r="D62" t="s">
        <v>1979</v>
      </c>
      <c r="E62">
        <v>1</v>
      </c>
      <c r="F62" t="s">
        <v>1980</v>
      </c>
    </row>
    <row r="63" spans="1:6" x14ac:dyDescent="0.2">
      <c r="A63">
        <v>3</v>
      </c>
      <c r="B63" s="472" t="s">
        <v>1981</v>
      </c>
      <c r="C63" t="s">
        <v>1982</v>
      </c>
      <c r="D63" t="s">
        <v>1983</v>
      </c>
      <c r="E63">
        <v>4</v>
      </c>
      <c r="F63" t="s">
        <v>1984</v>
      </c>
    </row>
    <row r="64" spans="1:6" x14ac:dyDescent="0.2">
      <c r="A64">
        <v>4</v>
      </c>
      <c r="B64" s="472" t="s">
        <v>1985</v>
      </c>
      <c r="C64" t="s">
        <v>1986</v>
      </c>
      <c r="D64" t="s">
        <v>1987</v>
      </c>
      <c r="E64">
        <v>1</v>
      </c>
      <c r="F64" t="s">
        <v>1988</v>
      </c>
    </row>
    <row r="65" spans="1:6" x14ac:dyDescent="0.2">
      <c r="A65">
        <v>5</v>
      </c>
      <c r="B65" s="472" t="s">
        <v>1989</v>
      </c>
      <c r="C65" t="s">
        <v>1990</v>
      </c>
      <c r="D65" t="s">
        <v>1991</v>
      </c>
      <c r="E65">
        <v>1</v>
      </c>
      <c r="F65" t="s">
        <v>1992</v>
      </c>
    </row>
    <row r="66" spans="1:6" x14ac:dyDescent="0.2">
      <c r="A66">
        <v>6</v>
      </c>
      <c r="B66" s="472" t="s">
        <v>1993</v>
      </c>
      <c r="C66" t="s">
        <v>1994</v>
      </c>
      <c r="D66" t="s">
        <v>1995</v>
      </c>
      <c r="E66">
        <v>1</v>
      </c>
      <c r="F66" t="s">
        <v>1996</v>
      </c>
    </row>
    <row r="67" spans="1:6" x14ac:dyDescent="0.2">
      <c r="A67">
        <v>7</v>
      </c>
      <c r="B67" s="472" t="s">
        <v>1997</v>
      </c>
      <c r="C67" t="s">
        <v>1998</v>
      </c>
      <c r="D67" t="s">
        <v>1999</v>
      </c>
      <c r="E67">
        <v>1</v>
      </c>
      <c r="F67" t="s">
        <v>2000</v>
      </c>
    </row>
    <row r="68" spans="1:6" x14ac:dyDescent="0.2">
      <c r="A68">
        <v>8</v>
      </c>
      <c r="B68" s="472" t="s">
        <v>2001</v>
      </c>
      <c r="C68" t="s">
        <v>2002</v>
      </c>
      <c r="D68" t="s">
        <v>2003</v>
      </c>
      <c r="E68">
        <v>34</v>
      </c>
      <c r="F68" t="s">
        <v>2004</v>
      </c>
    </row>
    <row r="69" spans="1:6" x14ac:dyDescent="0.2">
      <c r="A69">
        <v>9</v>
      </c>
      <c r="B69" s="472" t="s">
        <v>2005</v>
      </c>
      <c r="C69" t="s">
        <v>2006</v>
      </c>
      <c r="D69" t="s">
        <v>2007</v>
      </c>
      <c r="E69">
        <v>34</v>
      </c>
      <c r="F69" t="s">
        <v>2008</v>
      </c>
    </row>
    <row r="70" spans="1:6" x14ac:dyDescent="0.2">
      <c r="A70">
        <v>10</v>
      </c>
      <c r="B70" s="472" t="s">
        <v>2009</v>
      </c>
      <c r="C70" t="s">
        <v>2010</v>
      </c>
      <c r="D70" t="s">
        <v>2011</v>
      </c>
      <c r="E70">
        <v>34</v>
      </c>
      <c r="F70" t="s">
        <v>2012</v>
      </c>
    </row>
    <row r="71" spans="1:6" x14ac:dyDescent="0.2">
      <c r="A71">
        <v>11</v>
      </c>
      <c r="B71" s="472" t="s">
        <v>2013</v>
      </c>
      <c r="C71" t="s">
        <v>2014</v>
      </c>
      <c r="D71" t="s">
        <v>2015</v>
      </c>
      <c r="E71">
        <v>68</v>
      </c>
      <c r="F71" t="s">
        <v>2016</v>
      </c>
    </row>
    <row r="72" spans="1:6" x14ac:dyDescent="0.2">
      <c r="A72">
        <v>12</v>
      </c>
      <c r="B72" s="472" t="s">
        <v>2017</v>
      </c>
      <c r="C72" t="s">
        <v>2018</v>
      </c>
      <c r="D72" t="s">
        <v>2019</v>
      </c>
      <c r="E72">
        <v>24</v>
      </c>
      <c r="F72" t="s">
        <v>2020</v>
      </c>
    </row>
    <row r="73" spans="1:6" x14ac:dyDescent="0.2">
      <c r="A73">
        <v>13</v>
      </c>
      <c r="B73" s="472" t="s">
        <v>2021</v>
      </c>
      <c r="C73" t="s">
        <v>2022</v>
      </c>
      <c r="D73" t="s">
        <v>2023</v>
      </c>
      <c r="E73">
        <v>10</v>
      </c>
      <c r="F73" t="s">
        <v>2024</v>
      </c>
    </row>
    <row r="74" spans="1:6" x14ac:dyDescent="0.2">
      <c r="A74">
        <v>14</v>
      </c>
      <c r="B74" s="472" t="s">
        <v>2025</v>
      </c>
      <c r="C74" t="s">
        <v>2026</v>
      </c>
      <c r="D74" t="s">
        <v>2027</v>
      </c>
      <c r="E74">
        <v>34</v>
      </c>
      <c r="F74" t="s">
        <v>2028</v>
      </c>
    </row>
    <row r="75" spans="1:6" x14ac:dyDescent="0.2">
      <c r="A75">
        <v>15</v>
      </c>
      <c r="B75" s="472" t="s">
        <v>2029</v>
      </c>
      <c r="C75" t="s">
        <v>2030</v>
      </c>
      <c r="D75" t="s">
        <v>2031</v>
      </c>
      <c r="E75">
        <v>2</v>
      </c>
      <c r="F75" t="s">
        <v>2032</v>
      </c>
    </row>
    <row r="76" spans="1:6" x14ac:dyDescent="0.2">
      <c r="A76">
        <v>16</v>
      </c>
      <c r="B76" s="472" t="s">
        <v>2033</v>
      </c>
      <c r="C76" t="s">
        <v>2034</v>
      </c>
      <c r="E76">
        <v>1</v>
      </c>
      <c r="F76" t="s">
        <v>2035</v>
      </c>
    </row>
    <row r="77" spans="1:6" x14ac:dyDescent="0.2">
      <c r="A77">
        <v>17</v>
      </c>
      <c r="B77" s="472" t="s">
        <v>2036</v>
      </c>
      <c r="C77" t="s">
        <v>2037</v>
      </c>
      <c r="E77">
        <v>1</v>
      </c>
      <c r="F77" t="s">
        <v>2038</v>
      </c>
    </row>
    <row r="78" spans="1:6" x14ac:dyDescent="0.2">
      <c r="A78">
        <v>18</v>
      </c>
      <c r="B78" s="472" t="s">
        <v>2039</v>
      </c>
      <c r="C78" t="s">
        <v>2040</v>
      </c>
      <c r="E78">
        <v>1</v>
      </c>
      <c r="F78" t="s">
        <v>2041</v>
      </c>
    </row>
    <row r="79" spans="1:6" x14ac:dyDescent="0.2">
      <c r="A79">
        <v>19</v>
      </c>
      <c r="B79" s="472" t="s">
        <v>2042</v>
      </c>
      <c r="C79" t="s">
        <v>2043</v>
      </c>
      <c r="D79" t="s">
        <v>2044</v>
      </c>
      <c r="E79">
        <v>1</v>
      </c>
    </row>
    <row r="82" spans="1:3" ht="15.75" x14ac:dyDescent="0.25">
      <c r="A82" s="668" t="s">
        <v>1849</v>
      </c>
    </row>
    <row r="83" spans="1:3" x14ac:dyDescent="0.2">
      <c r="A83" s="609" t="s">
        <v>1622</v>
      </c>
      <c r="B83" s="609" t="s">
        <v>1624</v>
      </c>
      <c r="C83" s="609" t="s">
        <v>2045</v>
      </c>
    </row>
    <row r="84" spans="1:3" x14ac:dyDescent="0.2">
      <c r="A84" s="484" t="s">
        <v>2046</v>
      </c>
    </row>
    <row r="85" spans="1:3" x14ac:dyDescent="0.2">
      <c r="A85">
        <v>1</v>
      </c>
      <c r="B85" t="s">
        <v>2047</v>
      </c>
      <c r="C85" t="s">
        <v>2048</v>
      </c>
    </row>
    <row r="86" spans="1:3" x14ac:dyDescent="0.2">
      <c r="A86">
        <v>2</v>
      </c>
      <c r="B86" t="s">
        <v>2049</v>
      </c>
      <c r="C86" t="s">
        <v>2050</v>
      </c>
    </row>
    <row r="87" spans="1:3" x14ac:dyDescent="0.2">
      <c r="A87">
        <v>3</v>
      </c>
      <c r="B87" t="s">
        <v>2051</v>
      </c>
      <c r="C87" t="s">
        <v>2052</v>
      </c>
    </row>
    <row r="88" spans="1:3" x14ac:dyDescent="0.2">
      <c r="A88">
        <v>4</v>
      </c>
      <c r="B88" t="s">
        <v>2053</v>
      </c>
      <c r="C88" t="s">
        <v>2054</v>
      </c>
    </row>
    <row r="89" spans="1:3" x14ac:dyDescent="0.2">
      <c r="A89" s="484" t="s">
        <v>2055</v>
      </c>
    </row>
    <row r="90" spans="1:3" x14ac:dyDescent="0.2">
      <c r="A90">
        <v>5</v>
      </c>
      <c r="B90" t="s">
        <v>2056</v>
      </c>
      <c r="C90" t="s">
        <v>2057</v>
      </c>
    </row>
    <row r="91" spans="1:3" x14ac:dyDescent="0.2">
      <c r="A91">
        <v>6</v>
      </c>
      <c r="B91" t="s">
        <v>2058</v>
      </c>
      <c r="C91" t="s">
        <v>2059</v>
      </c>
    </row>
    <row r="92" spans="1:3" x14ac:dyDescent="0.2">
      <c r="A92">
        <v>7</v>
      </c>
      <c r="B92" t="s">
        <v>2060</v>
      </c>
      <c r="C92" t="s">
        <v>2061</v>
      </c>
    </row>
    <row r="93" spans="1:3" x14ac:dyDescent="0.2">
      <c r="A93">
        <v>8</v>
      </c>
      <c r="B93" t="s">
        <v>2062</v>
      </c>
      <c r="C93" t="s">
        <v>2063</v>
      </c>
    </row>
    <row r="94" spans="1:3" x14ac:dyDescent="0.2">
      <c r="A94">
        <v>9</v>
      </c>
      <c r="B94" t="s">
        <v>2064</v>
      </c>
      <c r="C94" t="s">
        <v>2065</v>
      </c>
    </row>
    <row r="95" spans="1:3" x14ac:dyDescent="0.2">
      <c r="A95">
        <v>10</v>
      </c>
      <c r="B95" t="s">
        <v>2066</v>
      </c>
      <c r="C95" t="s">
        <v>2067</v>
      </c>
    </row>
    <row r="96" spans="1:3" x14ac:dyDescent="0.2">
      <c r="A96">
        <v>11</v>
      </c>
      <c r="B96" t="s">
        <v>2068</v>
      </c>
      <c r="C96" t="s">
        <v>2069</v>
      </c>
    </row>
    <row r="97" spans="1:3" x14ac:dyDescent="0.2">
      <c r="A97" s="484" t="s">
        <v>2070</v>
      </c>
    </row>
    <row r="98" spans="1:3" x14ac:dyDescent="0.2">
      <c r="A98">
        <v>12</v>
      </c>
      <c r="B98" t="s">
        <v>2071</v>
      </c>
      <c r="C98" t="s">
        <v>2072</v>
      </c>
    </row>
    <row r="99" spans="1:3" x14ac:dyDescent="0.2">
      <c r="A99">
        <v>13</v>
      </c>
      <c r="B99" t="s">
        <v>2073</v>
      </c>
      <c r="C99" t="s">
        <v>2074</v>
      </c>
    </row>
    <row r="100" spans="1:3" x14ac:dyDescent="0.2">
      <c r="A100">
        <v>14</v>
      </c>
      <c r="B100" t="s">
        <v>2075</v>
      </c>
      <c r="C100" t="s">
        <v>2076</v>
      </c>
    </row>
    <row r="101" spans="1:3" x14ac:dyDescent="0.2">
      <c r="A101">
        <v>15</v>
      </c>
      <c r="B101" t="s">
        <v>2077</v>
      </c>
      <c r="C101" t="s">
        <v>2078</v>
      </c>
    </row>
    <row r="102" spans="1:3" x14ac:dyDescent="0.2">
      <c r="A102" s="484" t="s">
        <v>2079</v>
      </c>
    </row>
    <row r="103" spans="1:3" x14ac:dyDescent="0.2">
      <c r="A103">
        <v>16</v>
      </c>
      <c r="B103" t="s">
        <v>2080</v>
      </c>
      <c r="C103" t="s">
        <v>2081</v>
      </c>
    </row>
    <row r="104" spans="1:3" x14ac:dyDescent="0.2">
      <c r="A104">
        <v>17</v>
      </c>
      <c r="B104" t="s">
        <v>2082</v>
      </c>
      <c r="C104" t="s">
        <v>2083</v>
      </c>
    </row>
    <row r="105" spans="1:3" x14ac:dyDescent="0.2">
      <c r="A105">
        <v>18</v>
      </c>
      <c r="B105" t="s">
        <v>2084</v>
      </c>
      <c r="C105" t="s">
        <v>2085</v>
      </c>
    </row>
    <row r="106" spans="1:3" x14ac:dyDescent="0.2">
      <c r="A106">
        <v>19</v>
      </c>
      <c r="B106" t="s">
        <v>2086</v>
      </c>
      <c r="C106" t="s">
        <v>2087</v>
      </c>
    </row>
    <row r="107" spans="1:3" x14ac:dyDescent="0.2">
      <c r="A107">
        <v>20</v>
      </c>
      <c r="B107" t="s">
        <v>2088</v>
      </c>
      <c r="C107" t="s">
        <v>2089</v>
      </c>
    </row>
    <row r="108" spans="1:3" x14ac:dyDescent="0.2">
      <c r="A108" s="484" t="s">
        <v>2090</v>
      </c>
    </row>
    <row r="109" spans="1:3" x14ac:dyDescent="0.2">
      <c r="A109">
        <v>21</v>
      </c>
      <c r="B109" t="s">
        <v>2091</v>
      </c>
      <c r="C109" t="s">
        <v>2092</v>
      </c>
    </row>
    <row r="110" spans="1:3" x14ac:dyDescent="0.2">
      <c r="A110">
        <v>22</v>
      </c>
      <c r="B110" t="s">
        <v>2093</v>
      </c>
      <c r="C110" t="s">
        <v>2094</v>
      </c>
    </row>
    <row r="111" spans="1:3" x14ac:dyDescent="0.2">
      <c r="A111">
        <v>23</v>
      </c>
      <c r="B111" t="s">
        <v>2095</v>
      </c>
      <c r="C111" t="s">
        <v>2096</v>
      </c>
    </row>
    <row r="112" spans="1:3" x14ac:dyDescent="0.2">
      <c r="A112">
        <v>24</v>
      </c>
      <c r="B112" t="s">
        <v>2097</v>
      </c>
      <c r="C112" t="s">
        <v>2098</v>
      </c>
    </row>
    <row r="113" spans="1:5" x14ac:dyDescent="0.2">
      <c r="A113">
        <v>25</v>
      </c>
      <c r="B113" t="s">
        <v>2099</v>
      </c>
      <c r="C113" t="s">
        <v>2100</v>
      </c>
    </row>
    <row r="114" spans="1:5" x14ac:dyDescent="0.2">
      <c r="A114" s="484" t="s">
        <v>2101</v>
      </c>
    </row>
    <row r="115" spans="1:5" x14ac:dyDescent="0.2">
      <c r="A115">
        <v>26</v>
      </c>
      <c r="B115" t="s">
        <v>2102</v>
      </c>
      <c r="C115" t="s">
        <v>2103</v>
      </c>
    </row>
    <row r="116" spans="1:5" x14ac:dyDescent="0.2">
      <c r="A116">
        <v>27</v>
      </c>
      <c r="B116" t="s">
        <v>2104</v>
      </c>
      <c r="C116" t="s">
        <v>2105</v>
      </c>
    </row>
    <row r="117" spans="1:5" x14ac:dyDescent="0.2">
      <c r="A117">
        <v>28</v>
      </c>
      <c r="B117" t="s">
        <v>2106</v>
      </c>
      <c r="C117" t="s">
        <v>2107</v>
      </c>
    </row>
    <row r="118" spans="1:5" x14ac:dyDescent="0.2">
      <c r="A118">
        <v>29</v>
      </c>
      <c r="B118" t="s">
        <v>2108</v>
      </c>
      <c r="C118" t="s">
        <v>2109</v>
      </c>
    </row>
    <row r="119" spans="1:5" x14ac:dyDescent="0.2">
      <c r="A119">
        <v>30</v>
      </c>
      <c r="B119" t="s">
        <v>2110</v>
      </c>
      <c r="C119" t="s">
        <v>2111</v>
      </c>
    </row>
    <row r="120" spans="1:5" x14ac:dyDescent="0.2">
      <c r="A120">
        <v>31</v>
      </c>
      <c r="B120" t="s">
        <v>2112</v>
      </c>
      <c r="C120" t="s">
        <v>2113</v>
      </c>
    </row>
    <row r="121" spans="1:5" x14ac:dyDescent="0.2">
      <c r="A121">
        <v>32</v>
      </c>
      <c r="B121" t="s">
        <v>2114</v>
      </c>
      <c r="C121" t="s">
        <v>2115</v>
      </c>
    </row>
    <row r="124" spans="1:5" ht="15.75" x14ac:dyDescent="0.25">
      <c r="A124" s="667" t="s">
        <v>2173</v>
      </c>
    </row>
    <row r="126" spans="1:5" x14ac:dyDescent="0.2">
      <c r="A126" s="486" t="s">
        <v>1383</v>
      </c>
      <c r="B126" s="486" t="s">
        <v>2174</v>
      </c>
      <c r="C126" s="486" t="s">
        <v>2175</v>
      </c>
      <c r="D126" s="486" t="s">
        <v>2176</v>
      </c>
      <c r="E126" s="486" t="s">
        <v>2177</v>
      </c>
    </row>
    <row r="127" spans="1:5" x14ac:dyDescent="0.2">
      <c r="A127" s="472" t="s">
        <v>1824</v>
      </c>
      <c r="B127">
        <v>19</v>
      </c>
      <c r="C127">
        <v>26</v>
      </c>
      <c r="D127">
        <v>32</v>
      </c>
      <c r="E127">
        <v>34</v>
      </c>
    </row>
    <row r="128" spans="1:5" x14ac:dyDescent="0.2">
      <c r="A128" s="472" t="s">
        <v>1414</v>
      </c>
      <c r="B128" t="s">
        <v>2178</v>
      </c>
      <c r="C128" t="s">
        <v>2179</v>
      </c>
      <c r="D128" t="s">
        <v>2180</v>
      </c>
      <c r="E128" t="s">
        <v>2181</v>
      </c>
    </row>
    <row r="129" spans="1:5" x14ac:dyDescent="0.2">
      <c r="A129" s="472" t="s">
        <v>2182</v>
      </c>
      <c r="B129" t="s">
        <v>2183</v>
      </c>
      <c r="C129" t="s">
        <v>2184</v>
      </c>
      <c r="D129" t="s">
        <v>2185</v>
      </c>
      <c r="E129" t="s">
        <v>2186</v>
      </c>
    </row>
    <row r="130" spans="1:5" x14ac:dyDescent="0.2">
      <c r="A130" s="472" t="s">
        <v>2187</v>
      </c>
      <c r="B130" t="s">
        <v>2188</v>
      </c>
      <c r="C130" t="s">
        <v>2189</v>
      </c>
      <c r="D130" t="s">
        <v>2190</v>
      </c>
      <c r="E130" t="s">
        <v>2191</v>
      </c>
    </row>
    <row r="131" spans="1:5" x14ac:dyDescent="0.2">
      <c r="A131" s="472" t="s">
        <v>2192</v>
      </c>
      <c r="B131" t="s">
        <v>2193</v>
      </c>
      <c r="C131" t="s">
        <v>2194</v>
      </c>
      <c r="D131" t="s">
        <v>2194</v>
      </c>
      <c r="E131" t="s">
        <v>2193</v>
      </c>
    </row>
    <row r="132" spans="1:5" x14ac:dyDescent="0.2">
      <c r="A132" s="472" t="s">
        <v>2195</v>
      </c>
      <c r="B132" t="s">
        <v>2196</v>
      </c>
      <c r="C132" t="s">
        <v>2197</v>
      </c>
      <c r="D132" t="s">
        <v>2198</v>
      </c>
      <c r="E132" t="s">
        <v>2199</v>
      </c>
    </row>
    <row r="133" spans="1:5" x14ac:dyDescent="0.2">
      <c r="A133" s="472" t="s">
        <v>2200</v>
      </c>
      <c r="B133" t="s">
        <v>2201</v>
      </c>
      <c r="C133" t="s">
        <v>2202</v>
      </c>
      <c r="D133" t="s">
        <v>2203</v>
      </c>
      <c r="E133" t="s">
        <v>2203</v>
      </c>
    </row>
    <row r="134" spans="1:5" x14ac:dyDescent="0.2">
      <c r="A134" s="472" t="s">
        <v>2204</v>
      </c>
      <c r="B134" t="s">
        <v>2205</v>
      </c>
      <c r="C134" t="s">
        <v>2206</v>
      </c>
      <c r="D134" t="s">
        <v>2207</v>
      </c>
      <c r="E134" t="s">
        <v>1939</v>
      </c>
    </row>
    <row r="135" spans="1:5" x14ac:dyDescent="0.2">
      <c r="A135" s="472" t="s">
        <v>2009</v>
      </c>
      <c r="B135" t="s">
        <v>2208</v>
      </c>
      <c r="C135" t="s">
        <v>2209</v>
      </c>
      <c r="D135" t="s">
        <v>2210</v>
      </c>
      <c r="E135" t="s">
        <v>2211</v>
      </c>
    </row>
    <row r="136" spans="1:5" x14ac:dyDescent="0.2">
      <c r="A136" s="472" t="s">
        <v>1989</v>
      </c>
      <c r="B136" t="s">
        <v>2212</v>
      </c>
      <c r="C136" t="s">
        <v>2213</v>
      </c>
      <c r="D136" t="s">
        <v>2214</v>
      </c>
      <c r="E136" t="s">
        <v>2215</v>
      </c>
    </row>
    <row r="137" spans="1:5" x14ac:dyDescent="0.2">
      <c r="A137" s="472" t="s">
        <v>2216</v>
      </c>
      <c r="B137" t="s">
        <v>2217</v>
      </c>
      <c r="C137" t="s">
        <v>2218</v>
      </c>
      <c r="D137" t="s">
        <v>2219</v>
      </c>
      <c r="E137" t="s">
        <v>2220</v>
      </c>
    </row>
    <row r="138" spans="1:5" x14ac:dyDescent="0.2">
      <c r="A138" s="472" t="s">
        <v>2221</v>
      </c>
      <c r="B138" t="s">
        <v>2222</v>
      </c>
      <c r="C138" t="s">
        <v>2223</v>
      </c>
      <c r="D138" t="s">
        <v>2224</v>
      </c>
      <c r="E138" t="s">
        <v>2225</v>
      </c>
    </row>
    <row r="139" spans="1:5" x14ac:dyDescent="0.2">
      <c r="A139" s="472" t="s">
        <v>2226</v>
      </c>
      <c r="B139" t="s">
        <v>2227</v>
      </c>
      <c r="C139" t="s">
        <v>2228</v>
      </c>
      <c r="D139" t="s">
        <v>2229</v>
      </c>
      <c r="E139" t="s">
        <v>2230</v>
      </c>
    </row>
    <row r="140" spans="1:5" x14ac:dyDescent="0.2">
      <c r="A140" s="472" t="s">
        <v>2231</v>
      </c>
      <c r="B140" t="s">
        <v>2205</v>
      </c>
      <c r="C140" t="s">
        <v>2232</v>
      </c>
      <c r="D140" t="s">
        <v>2233</v>
      </c>
      <c r="E140" t="s">
        <v>2234</v>
      </c>
    </row>
    <row r="141" spans="1:5" x14ac:dyDescent="0.2">
      <c r="A141" s="472" t="s">
        <v>2235</v>
      </c>
      <c r="B141" t="s">
        <v>2236</v>
      </c>
      <c r="C141" t="s">
        <v>2237</v>
      </c>
      <c r="D141" t="s">
        <v>2238</v>
      </c>
      <c r="E141" t="s">
        <v>2238</v>
      </c>
    </row>
    <row r="142" spans="1:5" x14ac:dyDescent="0.2">
      <c r="A142" s="472" t="s">
        <v>2239</v>
      </c>
      <c r="B142" t="s">
        <v>2240</v>
      </c>
      <c r="C142" t="s">
        <v>2241</v>
      </c>
      <c r="D142" t="s">
        <v>2242</v>
      </c>
      <c r="E142" t="s">
        <v>2243</v>
      </c>
    </row>
    <row r="143" spans="1:5" x14ac:dyDescent="0.2">
      <c r="A143" s="472" t="s">
        <v>2244</v>
      </c>
      <c r="B143" t="s">
        <v>2245</v>
      </c>
      <c r="C143" t="s">
        <v>2246</v>
      </c>
      <c r="D143" t="s">
        <v>2247</v>
      </c>
      <c r="E143" t="s">
        <v>2248</v>
      </c>
    </row>
    <row r="144" spans="1:5" x14ac:dyDescent="0.2">
      <c r="A144" s="472" t="s">
        <v>2249</v>
      </c>
      <c r="B144" t="s">
        <v>2250</v>
      </c>
      <c r="C144" t="s">
        <v>2251</v>
      </c>
      <c r="D144" t="s">
        <v>2252</v>
      </c>
      <c r="E144" t="s">
        <v>2253</v>
      </c>
    </row>
    <row r="145" spans="1:8" x14ac:dyDescent="0.2">
      <c r="A145" s="472" t="s">
        <v>2254</v>
      </c>
      <c r="B145" t="s">
        <v>2255</v>
      </c>
      <c r="C145" t="s">
        <v>2256</v>
      </c>
      <c r="D145" t="s">
        <v>2257</v>
      </c>
      <c r="E145" t="s">
        <v>2258</v>
      </c>
    </row>
    <row r="148" spans="1:8" ht="15" x14ac:dyDescent="0.25">
      <c r="A148" s="599" t="s">
        <v>2259</v>
      </c>
    </row>
    <row r="149" spans="1:8" x14ac:dyDescent="0.2">
      <c r="A149" s="472" t="s">
        <v>610</v>
      </c>
      <c r="B149" s="472" t="s">
        <v>785</v>
      </c>
      <c r="C149" s="472" t="s">
        <v>1368</v>
      </c>
      <c r="D149" s="472" t="s">
        <v>2260</v>
      </c>
      <c r="E149" s="472" t="s">
        <v>2261</v>
      </c>
      <c r="F149" s="472" t="s">
        <v>1948</v>
      </c>
      <c r="G149" s="472" t="s">
        <v>1949</v>
      </c>
      <c r="H149" s="472" t="s">
        <v>2262</v>
      </c>
    </row>
    <row r="150" spans="1:8" x14ac:dyDescent="0.2">
      <c r="A150">
        <v>1</v>
      </c>
      <c r="B150" t="s">
        <v>257</v>
      </c>
      <c r="C150" s="481">
        <f>440*2^((91-69)/12)</f>
        <v>1567.9817439269968</v>
      </c>
      <c r="D150" s="565">
        <v>4</v>
      </c>
      <c r="E150" s="481">
        <f>2*SQRT(8.3*386.4/(0.04155*PI()*4*D150^2*C150^2))*1000</f>
        <v>24.991720859717763</v>
      </c>
      <c r="F150" s="481">
        <f t="shared" ref="F150:F168" si="4">0.04155*PI()*(E150/2000)^2*4*D150^2*C150^2/386.4</f>
        <v>8.3000000000000007</v>
      </c>
      <c r="G150" s="702">
        <f t="shared" ref="G150:G168" si="5">0.04155*4*D150^2*C150^2/(44600*386.4)*100</f>
        <v>37.936829209418256</v>
      </c>
      <c r="H150" t="s">
        <v>1951</v>
      </c>
    </row>
    <row r="151" spans="1:8" x14ac:dyDescent="0.2">
      <c r="A151">
        <v>2</v>
      </c>
      <c r="B151" t="s">
        <v>249</v>
      </c>
      <c r="C151" s="481">
        <f>440*2^((89-69)/12)</f>
        <v>1396.9129257320155</v>
      </c>
      <c r="D151" s="565">
        <v>5.0999999999999996</v>
      </c>
      <c r="E151" s="481">
        <f>2*SQRT(8.6*386.4/(0.04155*PI()*4*D151^2*C151^2))*1000</f>
        <v>22.395864026104615</v>
      </c>
      <c r="F151" s="481">
        <f t="shared" si="4"/>
        <v>8.5999999999999979</v>
      </c>
      <c r="G151" s="702">
        <f t="shared" si="5"/>
        <v>48.948351159547947</v>
      </c>
      <c r="H151" t="s">
        <v>1951</v>
      </c>
    </row>
    <row r="152" spans="1:8" x14ac:dyDescent="0.2">
      <c r="A152">
        <v>3</v>
      </c>
      <c r="B152" t="s">
        <v>248</v>
      </c>
      <c r="C152" s="481">
        <f>440*2^((88-69)/12)</f>
        <v>1318.5102276514795</v>
      </c>
      <c r="D152" s="565">
        <v>6.2</v>
      </c>
      <c r="E152" s="481">
        <f>2*SQRT(8.9*386.4/(0.04155*PI()*4*D152^2*C152^2))*1000</f>
        <v>19.855367023123947</v>
      </c>
      <c r="F152" s="481">
        <f t="shared" si="4"/>
        <v>8.8999999999999986</v>
      </c>
      <c r="G152" s="702">
        <f t="shared" si="5"/>
        <v>64.447997530646049</v>
      </c>
      <c r="H152" t="s">
        <v>1951</v>
      </c>
    </row>
    <row r="153" spans="1:8" x14ac:dyDescent="0.2">
      <c r="A153">
        <v>4</v>
      </c>
      <c r="B153" t="s">
        <v>58</v>
      </c>
      <c r="C153" s="481">
        <f>440*2^((86-69)/12)</f>
        <v>1174.6590716696303</v>
      </c>
      <c r="D153" s="565">
        <v>7.3</v>
      </c>
      <c r="E153" s="481">
        <f>2*SQRT(9.2*386.4/(0.04155*PI()*4*D153^2*C153^2))*1000</f>
        <v>19.244973836417923</v>
      </c>
      <c r="F153" s="481">
        <f t="shared" si="4"/>
        <v>9.2000000000000011</v>
      </c>
      <c r="G153" s="702">
        <f t="shared" si="5"/>
        <v>70.913421028020196</v>
      </c>
      <c r="H153" t="s">
        <v>1951</v>
      </c>
    </row>
    <row r="154" spans="1:8" x14ac:dyDescent="0.2">
      <c r="A154">
        <v>5</v>
      </c>
      <c r="B154" t="s">
        <v>55</v>
      </c>
      <c r="C154" s="481">
        <f>440*2^((84-69)/12)</f>
        <v>1046.5022612023945</v>
      </c>
      <c r="D154" s="565">
        <v>8.4</v>
      </c>
      <c r="E154" s="481">
        <f>2*SQRT(9.5*386.4/(0.04155*PI()*4*D154^2*C154^2))*1000</f>
        <v>19.07657718120533</v>
      </c>
      <c r="F154" s="481">
        <f t="shared" si="4"/>
        <v>9.5000000000000018</v>
      </c>
      <c r="G154" s="702">
        <f t="shared" si="5"/>
        <v>74.52430889112027</v>
      </c>
      <c r="H154" t="s">
        <v>1951</v>
      </c>
    </row>
    <row r="155" spans="1:8" x14ac:dyDescent="0.2">
      <c r="A155">
        <v>6</v>
      </c>
      <c r="B155" t="s">
        <v>54</v>
      </c>
      <c r="C155" s="481">
        <f>440*2^((83-69)/12)</f>
        <v>987.76660251224826</v>
      </c>
      <c r="D155" s="565">
        <v>9.6</v>
      </c>
      <c r="E155" s="481">
        <f>2*SQRT(9.8*386.4/(0.04155*PI()*4*D155^2*C155^2))*1000</f>
        <v>17.96162293877601</v>
      </c>
      <c r="F155" s="481">
        <f t="shared" si="4"/>
        <v>9.7999999999999989</v>
      </c>
      <c r="G155" s="702">
        <f t="shared" si="5"/>
        <v>86.718186137330633</v>
      </c>
      <c r="H155" t="s">
        <v>1951</v>
      </c>
    </row>
    <row r="156" spans="1:8" x14ac:dyDescent="0.2">
      <c r="A156">
        <v>7</v>
      </c>
      <c r="B156" t="s">
        <v>47</v>
      </c>
      <c r="C156" s="481">
        <f>440*2^((81-69)/12)</f>
        <v>880</v>
      </c>
      <c r="D156" s="565">
        <v>10.7</v>
      </c>
      <c r="E156" s="481">
        <f>2*SQRT(10.1*386.4/(0.04155*PI()*4*D156^2*C156^2))*1000</f>
        <v>18.363368338175896</v>
      </c>
      <c r="F156" s="481">
        <f t="shared" si="4"/>
        <v>10.099999999999996</v>
      </c>
      <c r="G156" s="702">
        <f t="shared" si="5"/>
        <v>85.505084923265443</v>
      </c>
      <c r="H156" t="s">
        <v>1951</v>
      </c>
    </row>
    <row r="157" spans="1:8" x14ac:dyDescent="0.2">
      <c r="A157">
        <v>8</v>
      </c>
      <c r="B157" t="s">
        <v>42</v>
      </c>
      <c r="C157" s="481">
        <f>440*2^((79-69)/12)</f>
        <v>783.99087196349853</v>
      </c>
      <c r="D157" s="565">
        <v>11.8</v>
      </c>
      <c r="E157" s="481">
        <f>2*SQRT(10.4*386.4/(0.04155*PI()*4*D157^2*C157^2))*1000</f>
        <v>18.966262829397191</v>
      </c>
      <c r="F157" s="481">
        <f t="shared" si="4"/>
        <v>10.399999999999999</v>
      </c>
      <c r="G157" s="702">
        <f t="shared" si="5"/>
        <v>82.536314048740621</v>
      </c>
      <c r="H157" t="s">
        <v>1951</v>
      </c>
    </row>
    <row r="158" spans="1:8" x14ac:dyDescent="0.2">
      <c r="A158">
        <v>9</v>
      </c>
      <c r="B158" t="s">
        <v>37</v>
      </c>
      <c r="C158" s="481">
        <f>440*2^((77-69)/12)</f>
        <v>698.45646286600777</v>
      </c>
      <c r="D158" s="565">
        <v>12.9</v>
      </c>
      <c r="E158" s="481">
        <f>2*SQRT(10.7*386.4/(0.04155*PI()*4*D158^2*C158^2))*1000</f>
        <v>19.75244889112237</v>
      </c>
      <c r="F158" s="481">
        <f t="shared" si="4"/>
        <v>10.7</v>
      </c>
      <c r="G158" s="702">
        <f t="shared" si="5"/>
        <v>78.29195613668179</v>
      </c>
      <c r="H158" t="s">
        <v>1951</v>
      </c>
    </row>
    <row r="159" spans="1:8" x14ac:dyDescent="0.2">
      <c r="A159">
        <v>10</v>
      </c>
      <c r="B159" t="s">
        <v>36</v>
      </c>
      <c r="C159" s="481">
        <f>440*2^((76-69)/12)</f>
        <v>659.25511382573984</v>
      </c>
      <c r="D159" s="565">
        <v>14</v>
      </c>
      <c r="E159" s="481">
        <f>2*SQRT(11*386.4/(0.04155*PI()*4*D159^2*C159^2))*1000</f>
        <v>19.551177027160737</v>
      </c>
      <c r="F159" s="481">
        <f t="shared" si="4"/>
        <v>11</v>
      </c>
      <c r="G159" s="702">
        <f t="shared" si="5"/>
        <v>82.152754396505117</v>
      </c>
      <c r="H159" t="s">
        <v>1951</v>
      </c>
    </row>
    <row r="160" spans="1:8" x14ac:dyDescent="0.2">
      <c r="A160">
        <v>11</v>
      </c>
      <c r="B160" t="s">
        <v>34</v>
      </c>
      <c r="C160" s="481">
        <f>440*2^((74-69)/12)</f>
        <v>587.32953583481515</v>
      </c>
      <c r="D160" s="565">
        <v>15.1</v>
      </c>
      <c r="E160" s="481">
        <f>2*SQRT(11.3*386.4/(0.04155*PI()*4*D160^2*C160^2))*1000</f>
        <v>20.622368433135655</v>
      </c>
      <c r="F160" s="481">
        <f t="shared" si="4"/>
        <v>11.299999999999997</v>
      </c>
      <c r="G160" s="702">
        <f t="shared" si="5"/>
        <v>75.853673900351311</v>
      </c>
      <c r="H160" t="s">
        <v>1951</v>
      </c>
    </row>
    <row r="161" spans="1:8" x14ac:dyDescent="0.2">
      <c r="A161">
        <v>12</v>
      </c>
      <c r="B161" t="s">
        <v>32</v>
      </c>
      <c r="C161" s="481">
        <f>440*2^((72-69)/12)</f>
        <v>523.25113060119725</v>
      </c>
      <c r="D161" s="565">
        <v>16.2</v>
      </c>
      <c r="E161" s="481">
        <f>2*SQRT(11.6*386.4/(0.04155*PI()*4*D161^2*C161^2))*1000</f>
        <v>21.860591716326567</v>
      </c>
      <c r="F161" s="481">
        <f t="shared" si="4"/>
        <v>11.599999999999998</v>
      </c>
      <c r="G161" s="702">
        <f t="shared" si="5"/>
        <v>69.296200486768726</v>
      </c>
      <c r="H161" t="s">
        <v>1951</v>
      </c>
    </row>
    <row r="162" spans="1:8" x14ac:dyDescent="0.2">
      <c r="A162">
        <v>13</v>
      </c>
      <c r="B162" t="s">
        <v>31</v>
      </c>
      <c r="C162" s="481">
        <f>440*2^((71-69)/12)</f>
        <v>493.88330125612413</v>
      </c>
      <c r="D162" s="565">
        <v>17.3</v>
      </c>
      <c r="E162" s="481">
        <f>2*SQRT(11.9*386.4/(0.04155*PI()*4*D162^2*C162^2))*1000</f>
        <v>21.96651410377557</v>
      </c>
      <c r="F162" s="481">
        <f t="shared" si="4"/>
        <v>11.899999999999999</v>
      </c>
      <c r="G162" s="702">
        <f t="shared" si="5"/>
        <v>70.404421465499368</v>
      </c>
      <c r="H162" t="s">
        <v>1951</v>
      </c>
    </row>
    <row r="163" spans="1:8" x14ac:dyDescent="0.2">
      <c r="A163">
        <v>14</v>
      </c>
      <c r="B163" t="s">
        <v>29</v>
      </c>
      <c r="C163" s="481">
        <f>440*2^((69-69)/12)</f>
        <v>440</v>
      </c>
      <c r="D163" s="565">
        <v>18.399999999999999</v>
      </c>
      <c r="E163" s="481">
        <f>2*SQRT(12.2*386.4/(0.04155*PI()*4*D163^2*C163^2))*1000</f>
        <v>23.472941926991169</v>
      </c>
      <c r="F163" s="481">
        <f t="shared" si="4"/>
        <v>12.199999999999996</v>
      </c>
      <c r="G163" s="702">
        <f t="shared" si="5"/>
        <v>63.212074311338874</v>
      </c>
      <c r="H163" t="s">
        <v>1951</v>
      </c>
    </row>
    <row r="164" spans="1:8" x14ac:dyDescent="0.2">
      <c r="A164">
        <v>15</v>
      </c>
      <c r="B164" t="s">
        <v>27</v>
      </c>
      <c r="C164" s="481">
        <f>440*2^((67-69)/12)</f>
        <v>391.99543598174927</v>
      </c>
      <c r="D164" s="565">
        <v>19.600000000000001</v>
      </c>
      <c r="E164" s="481">
        <f>2*SQRT(12.5*386.4/(0.04155*PI()*4*D164^2*C164^2))*1000</f>
        <v>25.0366393300421</v>
      </c>
      <c r="F164" s="481">
        <f t="shared" si="4"/>
        <v>12.5</v>
      </c>
      <c r="G164" s="702">
        <f t="shared" si="5"/>
        <v>56.928954332383306</v>
      </c>
      <c r="H164" t="s">
        <v>1951</v>
      </c>
    </row>
    <row r="165" spans="1:8" x14ac:dyDescent="0.2">
      <c r="A165">
        <v>16</v>
      </c>
      <c r="B165" t="s">
        <v>11</v>
      </c>
      <c r="C165" s="481">
        <f>440*2^((65-69)/12)</f>
        <v>349.22823143300388</v>
      </c>
      <c r="D165" s="565">
        <v>20.7</v>
      </c>
      <c r="E165" s="481">
        <f>2*SQRT(12.8*386.4/(0.04155*PI()*4*D165^2*C165^2))*1000</f>
        <v>26.926716832859928</v>
      </c>
      <c r="F165" s="481">
        <f t="shared" si="4"/>
        <v>12.799999999999999</v>
      </c>
      <c r="G165" s="702">
        <f t="shared" si="5"/>
        <v>50.398594262674692</v>
      </c>
      <c r="H165" t="s">
        <v>1951</v>
      </c>
    </row>
    <row r="166" spans="1:8" x14ac:dyDescent="0.2">
      <c r="A166">
        <v>17</v>
      </c>
      <c r="B166" t="s">
        <v>25</v>
      </c>
      <c r="C166" s="481">
        <f>440*2^((64-69)/12)</f>
        <v>329.62755691286992</v>
      </c>
      <c r="D166" s="565">
        <v>21.8</v>
      </c>
      <c r="E166" s="481">
        <f>2*SQRT(13.1*386.4/(0.04155*PI()*4*D166^2*C166^2))*1000</f>
        <v>27.403986888718801</v>
      </c>
      <c r="F166" s="481">
        <f t="shared" si="4"/>
        <v>13.100000000000001</v>
      </c>
      <c r="G166" s="702">
        <f t="shared" si="5"/>
        <v>49.798820152289672</v>
      </c>
      <c r="H166" t="s">
        <v>1951</v>
      </c>
    </row>
    <row r="167" spans="1:8" x14ac:dyDescent="0.2">
      <c r="A167">
        <v>18</v>
      </c>
      <c r="B167" t="s">
        <v>24</v>
      </c>
      <c r="C167" s="481">
        <f>440*2^((62-69)/12)</f>
        <v>293.66476791740757</v>
      </c>
      <c r="D167" s="565">
        <v>22.9</v>
      </c>
      <c r="E167" s="481">
        <f>2*SQRT(13.4*386.4/(0.04155*PI()*4*D167^2*C167^2))*1000</f>
        <v>29.615780296544173</v>
      </c>
      <c r="F167" s="481">
        <f t="shared" si="4"/>
        <v>13.400000000000002</v>
      </c>
      <c r="G167" s="702">
        <f t="shared" si="5"/>
        <v>43.614781292578428</v>
      </c>
      <c r="H167" t="s">
        <v>1951</v>
      </c>
    </row>
    <row r="168" spans="1:8" x14ac:dyDescent="0.2">
      <c r="A168">
        <v>19</v>
      </c>
      <c r="B168" t="s">
        <v>244</v>
      </c>
      <c r="C168" s="481">
        <f>440*2^((60-69)/12)</f>
        <v>261.62556530059862</v>
      </c>
      <c r="D168" s="565">
        <v>24</v>
      </c>
      <c r="E168" s="481">
        <f>2*SQRT(13.7*386.4/(0.04155*PI()*4*D168^2*C168^2))*1000</f>
        <v>32.072068483526927</v>
      </c>
      <c r="F168" s="481">
        <f t="shared" si="4"/>
        <v>13.700000000000005</v>
      </c>
      <c r="G168" s="702">
        <f t="shared" si="5"/>
        <v>38.022606577102181</v>
      </c>
      <c r="H168" t="s">
        <v>1951</v>
      </c>
    </row>
    <row r="169" spans="1:8" x14ac:dyDescent="0.2">
      <c r="A169" s="472" t="s">
        <v>2263</v>
      </c>
      <c r="F169" s="707">
        <f>SUM(F150:F168)</f>
        <v>209</v>
      </c>
    </row>
    <row r="172" spans="1:8" ht="18" x14ac:dyDescent="0.25">
      <c r="A172" s="833" t="s">
        <v>6470</v>
      </c>
    </row>
    <row r="173" spans="1:8" x14ac:dyDescent="0.2">
      <c r="A173" s="734" t="s">
        <v>6471</v>
      </c>
    </row>
    <row r="175" spans="1:8" x14ac:dyDescent="0.2">
      <c r="A175" s="609" t="s">
        <v>6324</v>
      </c>
    </row>
    <row r="176" spans="1:8" x14ac:dyDescent="0.2">
      <c r="A176" t="s">
        <v>6472</v>
      </c>
    </row>
    <row r="177" spans="1:1" x14ac:dyDescent="0.2">
      <c r="A177" s="759" t="s">
        <v>6473</v>
      </c>
    </row>
    <row r="178" spans="1:1" x14ac:dyDescent="0.2">
      <c r="A178" t="s">
        <v>6474</v>
      </c>
    </row>
    <row r="179" spans="1:1" x14ac:dyDescent="0.2">
      <c r="A179" t="s">
        <v>6475</v>
      </c>
    </row>
    <row r="181" spans="1:1" x14ac:dyDescent="0.2">
      <c r="A181" s="609" t="s">
        <v>6328</v>
      </c>
    </row>
    <row r="182" spans="1:1" x14ac:dyDescent="0.2">
      <c r="A182" t="s">
        <v>6476</v>
      </c>
    </row>
    <row r="183" spans="1:1" x14ac:dyDescent="0.2">
      <c r="A183" t="s">
        <v>6477</v>
      </c>
    </row>
    <row r="184" spans="1:1" x14ac:dyDescent="0.2">
      <c r="A184" t="s">
        <v>6478</v>
      </c>
    </row>
    <row r="185" spans="1:1" x14ac:dyDescent="0.2">
      <c r="A185" t="s">
        <v>6479</v>
      </c>
    </row>
    <row r="186" spans="1:1" x14ac:dyDescent="0.2">
      <c r="A186" t="s">
        <v>6480</v>
      </c>
    </row>
    <row r="188" spans="1:1" x14ac:dyDescent="0.2">
      <c r="A188" s="609" t="s">
        <v>6287</v>
      </c>
    </row>
    <row r="189" spans="1:1" x14ac:dyDescent="0.2">
      <c r="A189" t="s">
        <v>6481</v>
      </c>
    </row>
    <row r="190" spans="1:1" x14ac:dyDescent="0.2">
      <c r="A190" t="s">
        <v>6482</v>
      </c>
    </row>
    <row r="191" spans="1:1" x14ac:dyDescent="0.2">
      <c r="A191" t="s">
        <v>6483</v>
      </c>
    </row>
    <row r="192" spans="1:1" x14ac:dyDescent="0.2">
      <c r="A192" t="s">
        <v>6484</v>
      </c>
    </row>
    <row r="194" spans="1:1" x14ac:dyDescent="0.2">
      <c r="A194" s="609" t="s">
        <v>6420</v>
      </c>
    </row>
    <row r="195" spans="1:1" x14ac:dyDescent="0.2">
      <c r="A195" t="s">
        <v>6485</v>
      </c>
    </row>
    <row r="196" spans="1:1" x14ac:dyDescent="0.2">
      <c r="A196" t="s">
        <v>6486</v>
      </c>
    </row>
    <row r="197" spans="1:1" x14ac:dyDescent="0.2">
      <c r="A197" t="s">
        <v>6487</v>
      </c>
    </row>
    <row r="198" spans="1:1" x14ac:dyDescent="0.2">
      <c r="A198" t="s">
        <v>6488</v>
      </c>
    </row>
    <row r="200" spans="1:1" x14ac:dyDescent="0.2">
      <c r="A200" s="609" t="s">
        <v>6425</v>
      </c>
    </row>
    <row r="201" spans="1:1" x14ac:dyDescent="0.2">
      <c r="A201" t="s">
        <v>6489</v>
      </c>
    </row>
    <row r="202" spans="1:1" x14ac:dyDescent="0.2">
      <c r="A202" t="s">
        <v>6490</v>
      </c>
    </row>
    <row r="203" spans="1:1" x14ac:dyDescent="0.2">
      <c r="A203" t="s">
        <v>6491</v>
      </c>
    </row>
    <row r="205" spans="1:1" x14ac:dyDescent="0.2">
      <c r="A205" s="609" t="s">
        <v>6492</v>
      </c>
    </row>
    <row r="206" spans="1:1" x14ac:dyDescent="0.2">
      <c r="A206" t="s">
        <v>6493</v>
      </c>
    </row>
    <row r="207" spans="1:1" x14ac:dyDescent="0.2">
      <c r="A207" t="s">
        <v>6494</v>
      </c>
    </row>
    <row r="208" spans="1:1" x14ac:dyDescent="0.2">
      <c r="A208" t="s">
        <v>6495</v>
      </c>
    </row>
    <row r="209" spans="1:1" x14ac:dyDescent="0.2">
      <c r="A209" t="s">
        <v>6496</v>
      </c>
    </row>
    <row r="210" spans="1:1" x14ac:dyDescent="0.2">
      <c r="A210" t="s">
        <v>6497</v>
      </c>
    </row>
    <row r="212" spans="1:1" x14ac:dyDescent="0.2">
      <c r="A212" s="609" t="s">
        <v>6433</v>
      </c>
    </row>
    <row r="213" spans="1:1" x14ac:dyDescent="0.2">
      <c r="A213" t="s">
        <v>6498</v>
      </c>
    </row>
    <row r="214" spans="1:1" x14ac:dyDescent="0.2">
      <c r="A214" t="s">
        <v>6499</v>
      </c>
    </row>
    <row r="217" spans="1:1" ht="18" x14ac:dyDescent="0.25">
      <c r="A217" s="838" t="s">
        <v>7171</v>
      </c>
    </row>
    <row r="218" spans="1:1" x14ac:dyDescent="0.2">
      <c r="A218" s="734" t="s">
        <v>7131</v>
      </c>
    </row>
    <row r="220" spans="1:1" x14ac:dyDescent="0.2">
      <c r="A220" s="839" t="s">
        <v>7132</v>
      </c>
    </row>
    <row r="221" spans="1:1" x14ac:dyDescent="0.2">
      <c r="A221" t="s">
        <v>7172</v>
      </c>
    </row>
    <row r="222" spans="1:1" x14ac:dyDescent="0.2">
      <c r="A222" t="s">
        <v>7173</v>
      </c>
    </row>
    <row r="223" spans="1:1" x14ac:dyDescent="0.2">
      <c r="A223" t="s">
        <v>7174</v>
      </c>
    </row>
    <row r="224" spans="1:1" x14ac:dyDescent="0.2">
      <c r="A224" t="s">
        <v>7175</v>
      </c>
    </row>
    <row r="225" spans="1:1" x14ac:dyDescent="0.2">
      <c r="A225" t="s">
        <v>7176</v>
      </c>
    </row>
    <row r="226" spans="1:1" x14ac:dyDescent="0.2">
      <c r="A226" t="s">
        <v>7177</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F9EB4-3370-445A-A6C8-DDC4FA1D950E}">
  <dimension ref="A1:S88"/>
  <sheetViews>
    <sheetView workbookViewId="0">
      <pane ySplit="11" topLeftCell="A12" activePane="bottomLeft" state="frozen"/>
      <selection pane="bottomLeft" activeCell="T5" sqref="T5"/>
    </sheetView>
  </sheetViews>
  <sheetFormatPr defaultRowHeight="12.75" x14ac:dyDescent="0.2"/>
  <cols>
    <col min="1" max="1" width="137.140625" customWidth="1"/>
    <col min="2" max="2" width="20.28515625" customWidth="1"/>
    <col min="3" max="3" width="5.7109375" customWidth="1"/>
    <col min="4" max="4" width="9.140625" bestFit="1" customWidth="1"/>
    <col min="5" max="6" width="7.28515625" bestFit="1" customWidth="1"/>
    <col min="7" max="7" width="6.28515625" bestFit="1" customWidth="1"/>
    <col min="8" max="9" width="5.7109375" bestFit="1" customWidth="1"/>
    <col min="10" max="11" width="5.5703125" bestFit="1" customWidth="1"/>
    <col min="15" max="15" width="26.5703125" bestFit="1" customWidth="1"/>
    <col min="16" max="17" width="21" bestFit="1" customWidth="1"/>
  </cols>
  <sheetData>
    <row r="1" spans="1:19" ht="18" x14ac:dyDescent="0.25">
      <c r="A1" s="470" t="s">
        <v>2116</v>
      </c>
    </row>
    <row r="2" spans="1:19" x14ac:dyDescent="0.2">
      <c r="A2" s="537" t="s">
        <v>2117</v>
      </c>
    </row>
    <row r="4" spans="1:19" ht="15" x14ac:dyDescent="0.25">
      <c r="A4" s="602" t="s">
        <v>1443</v>
      </c>
    </row>
    <row r="5" spans="1:19" x14ac:dyDescent="0.2">
      <c r="A5" s="472" t="s">
        <v>1188</v>
      </c>
      <c r="B5" s="564" t="s">
        <v>1248</v>
      </c>
      <c r="C5" s="598" t="s">
        <v>2118</v>
      </c>
    </row>
    <row r="6" spans="1:19" x14ac:dyDescent="0.2">
      <c r="A6" s="472" t="s">
        <v>2119</v>
      </c>
      <c r="B6" s="662">
        <v>155502</v>
      </c>
      <c r="C6" s="598" t="s">
        <v>2120</v>
      </c>
    </row>
    <row r="7" spans="1:19" x14ac:dyDescent="0.2">
      <c r="A7" s="472" t="s">
        <v>1364</v>
      </c>
      <c r="B7" s="596">
        <v>0.75</v>
      </c>
      <c r="C7" s="598" t="s">
        <v>2121</v>
      </c>
    </row>
    <row r="8" spans="1:19" x14ac:dyDescent="0.2">
      <c r="A8" s="472" t="s">
        <v>2122</v>
      </c>
      <c r="B8" s="596">
        <v>1.25</v>
      </c>
      <c r="C8" s="598" t="s">
        <v>2123</v>
      </c>
    </row>
    <row r="10" spans="1:19" ht="15" x14ac:dyDescent="0.25">
      <c r="A10" s="603" t="s">
        <v>2124</v>
      </c>
    </row>
    <row r="11" spans="1:19" s="672" customFormat="1" ht="39" x14ac:dyDescent="0.25">
      <c r="A11" s="670" t="s">
        <v>610</v>
      </c>
      <c r="B11" s="670" t="s">
        <v>785</v>
      </c>
      <c r="C11" s="671" t="s">
        <v>1272</v>
      </c>
      <c r="D11" s="670" t="s">
        <v>1368</v>
      </c>
      <c r="E11" s="670" t="s">
        <v>1369</v>
      </c>
      <c r="F11" s="670" t="s">
        <v>1370</v>
      </c>
      <c r="G11" s="670" t="s">
        <v>2125</v>
      </c>
      <c r="H11" s="670" t="s">
        <v>1372</v>
      </c>
      <c r="I11" s="670" t="s">
        <v>1373</v>
      </c>
      <c r="J11" s="670" t="s">
        <v>2126</v>
      </c>
      <c r="K11" s="670" t="s">
        <v>2127</v>
      </c>
      <c r="O11" s="615" t="s">
        <v>1411</v>
      </c>
      <c r="P11"/>
      <c r="Q11"/>
      <c r="R11"/>
      <c r="S11"/>
    </row>
    <row r="12" spans="1:19" x14ac:dyDescent="0.2">
      <c r="A12">
        <v>1</v>
      </c>
      <c r="B12" t="s">
        <v>11</v>
      </c>
      <c r="C12">
        <v>65</v>
      </c>
      <c r="D12" s="481">
        <f t="shared" ref="D12:D55" si="0">440*2^((C12-69)/12)</f>
        <v>349.22823143300388</v>
      </c>
      <c r="E12" s="469">
        <f t="shared" ref="E12:E55" si="1">SQRT($B$6*$B$7/D12)</f>
        <v>18.274434596748218</v>
      </c>
      <c r="F12" s="481">
        <f t="shared" ref="F12:F55" si="2">E12*25.4</f>
        <v>464.17063875740473</v>
      </c>
      <c r="G12" s="469">
        <f t="shared" ref="G12:G55" si="3">1+0.5*(108-C12)/(108-65)</f>
        <v>1.5</v>
      </c>
      <c r="H12" s="469">
        <f t="shared" ref="H12:H55" si="4">E12*0.224</f>
        <v>4.0934733496716014</v>
      </c>
      <c r="I12" s="469">
        <f t="shared" ref="I12:I55" si="5">E12*0.776</f>
        <v>14.180961247076619</v>
      </c>
      <c r="J12" s="469">
        <f t="shared" ref="J12:J55" si="6">IF(13552/(4*D12)-0.82*$B$8&gt;0.5, 13552/(4*D12)-0.82*$B$8, "none")</f>
        <v>8.6763920841905229</v>
      </c>
      <c r="K12" s="481">
        <f t="shared" ref="K12:K55" si="7">IF(J12="none","none",J12*25.4)</f>
        <v>220.38035893843926</v>
      </c>
      <c r="O12" s="472"/>
      <c r="P12" s="472" t="s">
        <v>2139</v>
      </c>
      <c r="Q12" s="472" t="s">
        <v>2140</v>
      </c>
    </row>
    <row r="13" spans="1:19" x14ac:dyDescent="0.2">
      <c r="A13">
        <v>2</v>
      </c>
      <c r="B13" t="s">
        <v>424</v>
      </c>
      <c r="C13">
        <v>66</v>
      </c>
      <c r="D13" s="481">
        <f t="shared" si="0"/>
        <v>369.99442271163446</v>
      </c>
      <c r="E13" s="469">
        <f t="shared" si="1"/>
        <v>17.75419691726341</v>
      </c>
      <c r="F13" s="481">
        <f t="shared" si="2"/>
        <v>450.9566016984906</v>
      </c>
      <c r="G13" s="469">
        <f t="shared" si="3"/>
        <v>1.4883720930232558</v>
      </c>
      <c r="H13" s="469">
        <f t="shared" si="4"/>
        <v>3.9769401094670038</v>
      </c>
      <c r="I13" s="469">
        <f t="shared" si="5"/>
        <v>13.777256807796407</v>
      </c>
      <c r="J13" s="469">
        <f t="shared" si="6"/>
        <v>8.1318947855209505</v>
      </c>
      <c r="K13" s="481">
        <f t="shared" si="7"/>
        <v>206.55012755223214</v>
      </c>
      <c r="O13" s="472" t="s">
        <v>1414</v>
      </c>
      <c r="P13" t="s">
        <v>2141</v>
      </c>
      <c r="Q13" t="s">
        <v>2142</v>
      </c>
    </row>
    <row r="14" spans="1:19" x14ac:dyDescent="0.2">
      <c r="A14">
        <v>3</v>
      </c>
      <c r="B14" t="s">
        <v>27</v>
      </c>
      <c r="C14">
        <v>67</v>
      </c>
      <c r="D14" s="481">
        <f t="shared" si="0"/>
        <v>391.99543598174927</v>
      </c>
      <c r="E14" s="469">
        <f t="shared" si="1"/>
        <v>17.248769394652285</v>
      </c>
      <c r="F14" s="481">
        <f t="shared" si="2"/>
        <v>438.11874262416802</v>
      </c>
      <c r="G14" s="469">
        <f t="shared" si="3"/>
        <v>1.4767441860465116</v>
      </c>
      <c r="H14" s="469">
        <f t="shared" si="4"/>
        <v>3.8637243444021121</v>
      </c>
      <c r="I14" s="469">
        <f t="shared" si="5"/>
        <v>13.385045050250174</v>
      </c>
      <c r="J14" s="469">
        <f t="shared" si="6"/>
        <v>7.6179577719821729</v>
      </c>
      <c r="K14" s="481">
        <f t="shared" si="7"/>
        <v>193.49612740834718</v>
      </c>
      <c r="O14" s="472" t="s">
        <v>2143</v>
      </c>
      <c r="P14" t="s">
        <v>2144</v>
      </c>
      <c r="Q14" t="s">
        <v>2145</v>
      </c>
    </row>
    <row r="15" spans="1:19" x14ac:dyDescent="0.2">
      <c r="A15">
        <v>4</v>
      </c>
      <c r="B15" t="s">
        <v>1286</v>
      </c>
      <c r="C15">
        <v>68</v>
      </c>
      <c r="D15" s="481">
        <f t="shared" si="0"/>
        <v>415.30469757994513</v>
      </c>
      <c r="E15" s="469">
        <f t="shared" si="1"/>
        <v>16.757730412497441</v>
      </c>
      <c r="F15" s="481">
        <f t="shared" si="2"/>
        <v>425.64635247743496</v>
      </c>
      <c r="G15" s="469">
        <f t="shared" si="3"/>
        <v>1.4651162790697674</v>
      </c>
      <c r="H15" s="469">
        <f t="shared" si="4"/>
        <v>3.7537316123994269</v>
      </c>
      <c r="I15" s="469">
        <f t="shared" si="5"/>
        <v>13.003998800098016</v>
      </c>
      <c r="J15" s="469">
        <f t="shared" si="6"/>
        <v>7.1328658265665741</v>
      </c>
      <c r="K15" s="481">
        <f t="shared" si="7"/>
        <v>181.17479199479098</v>
      </c>
      <c r="O15" s="472" t="s">
        <v>1425</v>
      </c>
      <c r="P15" t="s">
        <v>2146</v>
      </c>
      <c r="Q15" t="s">
        <v>2147</v>
      </c>
    </row>
    <row r="16" spans="1:19" x14ac:dyDescent="0.2">
      <c r="A16" s="551">
        <v>5</v>
      </c>
      <c r="B16" s="551" t="s">
        <v>29</v>
      </c>
      <c r="C16" s="551">
        <v>69</v>
      </c>
      <c r="D16" s="666">
        <f t="shared" si="0"/>
        <v>440</v>
      </c>
      <c r="E16" s="665">
        <f t="shared" si="1"/>
        <v>16.280670356982458</v>
      </c>
      <c r="F16" s="666">
        <f t="shared" si="2"/>
        <v>413.52902706735443</v>
      </c>
      <c r="G16" s="665">
        <f t="shared" si="3"/>
        <v>1.4534883720930232</v>
      </c>
      <c r="H16" s="665">
        <f t="shared" si="4"/>
        <v>3.6468701599640707</v>
      </c>
      <c r="I16" s="665">
        <f t="shared" si="5"/>
        <v>12.633800197018388</v>
      </c>
      <c r="J16" s="665">
        <f t="shared" si="6"/>
        <v>6.6750000000000007</v>
      </c>
      <c r="K16" s="666">
        <f t="shared" si="7"/>
        <v>169.54500000000002</v>
      </c>
      <c r="O16" s="472" t="s">
        <v>2148</v>
      </c>
      <c r="P16" t="s">
        <v>2149</v>
      </c>
      <c r="Q16" t="s">
        <v>2150</v>
      </c>
    </row>
    <row r="17" spans="1:17" x14ac:dyDescent="0.2">
      <c r="A17">
        <v>6</v>
      </c>
      <c r="B17" t="s">
        <v>1287</v>
      </c>
      <c r="C17">
        <v>70</v>
      </c>
      <c r="D17" s="481">
        <f t="shared" si="0"/>
        <v>466.16376151808993</v>
      </c>
      <c r="E17" s="469">
        <f t="shared" si="1"/>
        <v>15.817191275201134</v>
      </c>
      <c r="F17" s="481">
        <f t="shared" si="2"/>
        <v>401.75665839010878</v>
      </c>
      <c r="G17" s="469">
        <f t="shared" si="3"/>
        <v>1.441860465116279</v>
      </c>
      <c r="H17" s="469">
        <f t="shared" si="4"/>
        <v>3.543050845645054</v>
      </c>
      <c r="I17" s="469">
        <f t="shared" si="5"/>
        <v>12.274140429556081</v>
      </c>
      <c r="J17" s="469">
        <f t="shared" si="6"/>
        <v>6.2428322076490392</v>
      </c>
      <c r="K17" s="481">
        <f t="shared" si="7"/>
        <v>158.56793807428559</v>
      </c>
      <c r="O17" s="472" t="s">
        <v>2151</v>
      </c>
      <c r="P17" t="s">
        <v>2152</v>
      </c>
      <c r="Q17" t="s">
        <v>2153</v>
      </c>
    </row>
    <row r="18" spans="1:17" x14ac:dyDescent="0.2">
      <c r="A18">
        <v>7</v>
      </c>
      <c r="B18" t="s">
        <v>31</v>
      </c>
      <c r="C18">
        <v>71</v>
      </c>
      <c r="D18" s="481">
        <f t="shared" si="0"/>
        <v>493.88330125612413</v>
      </c>
      <c r="E18" s="469">
        <f t="shared" si="1"/>
        <v>15.366906543194037</v>
      </c>
      <c r="F18" s="481">
        <f t="shared" si="2"/>
        <v>390.31942619712851</v>
      </c>
      <c r="G18" s="469">
        <f t="shared" si="3"/>
        <v>1.4302325581395348</v>
      </c>
      <c r="H18" s="469">
        <f t="shared" si="4"/>
        <v>3.4421870656754643</v>
      </c>
      <c r="I18" s="469">
        <f t="shared" si="5"/>
        <v>11.924719477518574</v>
      </c>
      <c r="J18" s="469">
        <f t="shared" si="6"/>
        <v>5.8349201296806132</v>
      </c>
      <c r="K18" s="481">
        <f t="shared" si="7"/>
        <v>148.20697129388756</v>
      </c>
      <c r="O18" s="472" t="s">
        <v>1431</v>
      </c>
      <c r="P18" t="s">
        <v>2154</v>
      </c>
      <c r="Q18" t="s">
        <v>2155</v>
      </c>
    </row>
    <row r="19" spans="1:17" x14ac:dyDescent="0.2">
      <c r="A19">
        <v>8</v>
      </c>
      <c r="B19" s="472" t="s">
        <v>32</v>
      </c>
      <c r="C19">
        <v>72</v>
      </c>
      <c r="D19" s="481">
        <f t="shared" si="0"/>
        <v>523.25113060119725</v>
      </c>
      <c r="E19" s="469">
        <f t="shared" si="1"/>
        <v>14.929440543435351</v>
      </c>
      <c r="F19" s="481">
        <f t="shared" si="2"/>
        <v>379.20778980325792</v>
      </c>
      <c r="G19" s="469">
        <f t="shared" si="3"/>
        <v>1.4186046511627908</v>
      </c>
      <c r="H19" s="469">
        <f t="shared" si="4"/>
        <v>3.3441946817295189</v>
      </c>
      <c r="I19" s="469">
        <f t="shared" si="5"/>
        <v>11.585245861705832</v>
      </c>
      <c r="J19" s="469">
        <f t="shared" si="6"/>
        <v>5.4499023974536023</v>
      </c>
      <c r="K19" s="481">
        <f t="shared" si="7"/>
        <v>138.42752089532149</v>
      </c>
      <c r="O19" s="472" t="s">
        <v>2156</v>
      </c>
      <c r="P19" t="s">
        <v>2157</v>
      </c>
      <c r="Q19" t="s">
        <v>2158</v>
      </c>
    </row>
    <row r="20" spans="1:17" x14ac:dyDescent="0.2">
      <c r="A20">
        <v>9</v>
      </c>
      <c r="B20" t="s">
        <v>1288</v>
      </c>
      <c r="C20">
        <v>73</v>
      </c>
      <c r="D20" s="481">
        <f t="shared" si="0"/>
        <v>554.36526195374415</v>
      </c>
      <c r="E20" s="469">
        <f t="shared" si="1"/>
        <v>14.504428351501092</v>
      </c>
      <c r="F20" s="481">
        <f t="shared" si="2"/>
        <v>368.4124801281277</v>
      </c>
      <c r="G20" s="469">
        <f t="shared" si="3"/>
        <v>1.4069767441860466</v>
      </c>
      <c r="H20" s="469">
        <f t="shared" si="4"/>
        <v>3.2489919507362446</v>
      </c>
      <c r="I20" s="469">
        <f t="shared" si="5"/>
        <v>11.255436400764848</v>
      </c>
      <c r="J20" s="469">
        <f t="shared" si="6"/>
        <v>5.0864940500775688</v>
      </c>
      <c r="K20" s="481">
        <f t="shared" si="7"/>
        <v>129.19694887197025</v>
      </c>
      <c r="O20" s="472" t="s">
        <v>2159</v>
      </c>
      <c r="P20" t="s">
        <v>2160</v>
      </c>
      <c r="Q20" t="s">
        <v>2161</v>
      </c>
    </row>
    <row r="21" spans="1:17" x14ac:dyDescent="0.2">
      <c r="A21">
        <v>10</v>
      </c>
      <c r="B21" t="s">
        <v>34</v>
      </c>
      <c r="C21">
        <v>74</v>
      </c>
      <c r="D21" s="481">
        <f t="shared" si="0"/>
        <v>587.32953583481515</v>
      </c>
      <c r="E21" s="469">
        <f t="shared" si="1"/>
        <v>14.09151543165725</v>
      </c>
      <c r="F21" s="481">
        <f t="shared" si="2"/>
        <v>357.9244919640941</v>
      </c>
      <c r="G21" s="469">
        <f t="shared" si="3"/>
        <v>1.3953488372093024</v>
      </c>
      <c r="H21" s="469">
        <f t="shared" si="4"/>
        <v>3.1564994566912241</v>
      </c>
      <c r="I21" s="469">
        <f t="shared" si="5"/>
        <v>10.935015974966026</v>
      </c>
      <c r="J21" s="469">
        <f t="shared" si="6"/>
        <v>4.7434822459752244</v>
      </c>
      <c r="K21" s="481">
        <f t="shared" si="7"/>
        <v>120.4844490477707</v>
      </c>
      <c r="O21" s="472" t="s">
        <v>2162</v>
      </c>
      <c r="P21" t="s">
        <v>2163</v>
      </c>
      <c r="Q21" t="s">
        <v>2163</v>
      </c>
    </row>
    <row r="22" spans="1:17" x14ac:dyDescent="0.2">
      <c r="A22">
        <v>11</v>
      </c>
      <c r="B22" t="s">
        <v>1289</v>
      </c>
      <c r="C22">
        <v>75</v>
      </c>
      <c r="D22" s="481">
        <f t="shared" si="0"/>
        <v>622.25396744416184</v>
      </c>
      <c r="E22" s="469">
        <f t="shared" si="1"/>
        <v>13.690357341113961</v>
      </c>
      <c r="F22" s="481">
        <f t="shared" si="2"/>
        <v>347.73507646429459</v>
      </c>
      <c r="G22" s="469">
        <f t="shared" si="3"/>
        <v>1.3837209302325582</v>
      </c>
      <c r="H22" s="469">
        <f t="shared" si="4"/>
        <v>3.0666400444095272</v>
      </c>
      <c r="I22" s="469">
        <f t="shared" si="5"/>
        <v>10.623717296704434</v>
      </c>
      <c r="J22" s="469">
        <f t="shared" si="6"/>
        <v>4.4197222151364155</v>
      </c>
      <c r="K22" s="481">
        <f t="shared" si="7"/>
        <v>112.26094426446495</v>
      </c>
      <c r="O22" s="472" t="s">
        <v>2164</v>
      </c>
      <c r="P22" t="s">
        <v>2165</v>
      </c>
      <c r="Q22" t="s">
        <v>2166</v>
      </c>
    </row>
    <row r="23" spans="1:17" x14ac:dyDescent="0.2">
      <c r="A23">
        <v>12</v>
      </c>
      <c r="B23" t="s">
        <v>36</v>
      </c>
      <c r="C23">
        <v>76</v>
      </c>
      <c r="D23" s="481">
        <f t="shared" si="0"/>
        <v>659.25511382573984</v>
      </c>
      <c r="E23" s="469">
        <f t="shared" si="1"/>
        <v>13.300619442698965</v>
      </c>
      <c r="F23" s="481">
        <f t="shared" si="2"/>
        <v>337.83573384455366</v>
      </c>
      <c r="G23" s="469">
        <f t="shared" si="3"/>
        <v>1.3720930232558139</v>
      </c>
      <c r="H23" s="469">
        <f t="shared" si="4"/>
        <v>2.979338755164568</v>
      </c>
      <c r="I23" s="469">
        <f t="shared" si="5"/>
        <v>10.321280687534397</v>
      </c>
      <c r="J23" s="469">
        <f t="shared" si="6"/>
        <v>4.1141334385546333</v>
      </c>
      <c r="K23" s="481">
        <f t="shared" si="7"/>
        <v>104.49898933928768</v>
      </c>
      <c r="O23" s="472" t="s">
        <v>2167</v>
      </c>
      <c r="P23" t="s">
        <v>2168</v>
      </c>
      <c r="Q23" t="s">
        <v>2169</v>
      </c>
    </row>
    <row r="24" spans="1:17" x14ac:dyDescent="0.2">
      <c r="A24">
        <v>13</v>
      </c>
      <c r="B24" t="s">
        <v>37</v>
      </c>
      <c r="C24">
        <v>77</v>
      </c>
      <c r="D24" s="481">
        <f t="shared" si="0"/>
        <v>698.45646286600777</v>
      </c>
      <c r="E24" s="469">
        <f t="shared" si="1"/>
        <v>12.921976625710716</v>
      </c>
      <c r="F24" s="481">
        <f t="shared" si="2"/>
        <v>328.21820629305216</v>
      </c>
      <c r="G24" s="469">
        <f t="shared" si="3"/>
        <v>1.3604651162790697</v>
      </c>
      <c r="H24" s="469">
        <f t="shared" si="4"/>
        <v>2.8945227641592006</v>
      </c>
      <c r="I24" s="469">
        <f t="shared" si="5"/>
        <v>10.027453861551516</v>
      </c>
      <c r="J24" s="469">
        <f t="shared" si="6"/>
        <v>3.8256960420952617</v>
      </c>
      <c r="K24" s="481">
        <f t="shared" si="7"/>
        <v>97.172679469219645</v>
      </c>
      <c r="O24" s="472" t="s">
        <v>2170</v>
      </c>
      <c r="P24" t="s">
        <v>2171</v>
      </c>
      <c r="Q24" t="s">
        <v>2172</v>
      </c>
    </row>
    <row r="25" spans="1:17" x14ac:dyDescent="0.2">
      <c r="A25">
        <v>14</v>
      </c>
      <c r="B25" t="s">
        <v>1290</v>
      </c>
      <c r="C25">
        <v>78</v>
      </c>
      <c r="D25" s="481">
        <f t="shared" si="0"/>
        <v>739.9888454232688</v>
      </c>
      <c r="E25" s="469">
        <f t="shared" si="1"/>
        <v>12.554113034718254</v>
      </c>
      <c r="F25" s="481">
        <f t="shared" si="2"/>
        <v>318.87447108184364</v>
      </c>
      <c r="G25" s="469">
        <f t="shared" si="3"/>
        <v>1.3488372093023255</v>
      </c>
      <c r="H25" s="469">
        <f t="shared" si="4"/>
        <v>2.8121213197768888</v>
      </c>
      <c r="I25" s="469">
        <f t="shared" si="5"/>
        <v>9.7419917149413653</v>
      </c>
      <c r="J25" s="469">
        <f t="shared" si="6"/>
        <v>3.5534473927604764</v>
      </c>
      <c r="K25" s="481">
        <f t="shared" si="7"/>
        <v>90.2575637761161</v>
      </c>
    </row>
    <row r="26" spans="1:17" x14ac:dyDescent="0.2">
      <c r="A26">
        <v>15</v>
      </c>
      <c r="B26" t="s">
        <v>42</v>
      </c>
      <c r="C26">
        <v>79</v>
      </c>
      <c r="D26" s="481">
        <f t="shared" si="0"/>
        <v>783.99087196349853</v>
      </c>
      <c r="E26" s="469">
        <f t="shared" si="1"/>
        <v>12.196721806081612</v>
      </c>
      <c r="F26" s="481">
        <f t="shared" si="2"/>
        <v>309.79673387447292</v>
      </c>
      <c r="G26" s="469">
        <f t="shared" si="3"/>
        <v>1.3372093023255813</v>
      </c>
      <c r="H26" s="469">
        <f t="shared" si="4"/>
        <v>2.732065684562281</v>
      </c>
      <c r="I26" s="469">
        <f t="shared" si="5"/>
        <v>9.4646561215193312</v>
      </c>
      <c r="J26" s="469">
        <f t="shared" si="6"/>
        <v>3.2964788859910867</v>
      </c>
      <c r="K26" s="481">
        <f t="shared" si="7"/>
        <v>83.730563704173605</v>
      </c>
    </row>
    <row r="27" spans="1:17" x14ac:dyDescent="0.2">
      <c r="A27">
        <v>16</v>
      </c>
      <c r="B27" t="s">
        <v>1291</v>
      </c>
      <c r="C27">
        <v>80</v>
      </c>
      <c r="D27" s="481">
        <f t="shared" si="0"/>
        <v>830.60939515989025</v>
      </c>
      <c r="E27" s="469">
        <f t="shared" si="1"/>
        <v>11.849504811972983</v>
      </c>
      <c r="F27" s="481">
        <f t="shared" si="2"/>
        <v>300.97742222411375</v>
      </c>
      <c r="G27" s="469">
        <f t="shared" si="3"/>
        <v>1.3255813953488373</v>
      </c>
      <c r="H27" s="469">
        <f t="shared" si="4"/>
        <v>2.6542890778819483</v>
      </c>
      <c r="I27" s="469">
        <f t="shared" si="5"/>
        <v>9.1952157340910343</v>
      </c>
      <c r="J27" s="469">
        <f t="shared" si="6"/>
        <v>3.0539329132832873</v>
      </c>
      <c r="K27" s="481">
        <f t="shared" si="7"/>
        <v>77.569895997395491</v>
      </c>
    </row>
    <row r="28" spans="1:17" x14ac:dyDescent="0.2">
      <c r="A28">
        <v>17</v>
      </c>
      <c r="B28" t="s">
        <v>47</v>
      </c>
      <c r="C28">
        <v>81</v>
      </c>
      <c r="D28" s="481">
        <f t="shared" si="0"/>
        <v>880</v>
      </c>
      <c r="E28" s="469">
        <f t="shared" si="1"/>
        <v>11.512172411685105</v>
      </c>
      <c r="F28" s="481">
        <f t="shared" si="2"/>
        <v>292.40917925680168</v>
      </c>
      <c r="G28" s="469">
        <f t="shared" si="3"/>
        <v>1.3139534883720931</v>
      </c>
      <c r="H28" s="469">
        <f t="shared" si="4"/>
        <v>2.5787266202174637</v>
      </c>
      <c r="I28" s="469">
        <f t="shared" si="5"/>
        <v>8.9334457914676424</v>
      </c>
      <c r="J28" s="469">
        <f t="shared" si="6"/>
        <v>2.8250000000000002</v>
      </c>
      <c r="K28" s="481">
        <f t="shared" si="7"/>
        <v>71.754999999999995</v>
      </c>
    </row>
    <row r="29" spans="1:17" x14ac:dyDescent="0.2">
      <c r="A29">
        <v>18</v>
      </c>
      <c r="B29" t="s">
        <v>1292</v>
      </c>
      <c r="C29">
        <v>82</v>
      </c>
      <c r="D29" s="481">
        <f t="shared" si="0"/>
        <v>932.32752303617963</v>
      </c>
      <c r="E29" s="469">
        <f t="shared" si="1"/>
        <v>11.184443210019419</v>
      </c>
      <c r="F29" s="481">
        <f t="shared" si="2"/>
        <v>284.08485753449321</v>
      </c>
      <c r="G29" s="469">
        <f t="shared" si="3"/>
        <v>1.3023255813953489</v>
      </c>
      <c r="H29" s="469">
        <f t="shared" si="4"/>
        <v>2.5053152790443498</v>
      </c>
      <c r="I29" s="469">
        <f t="shared" si="5"/>
        <v>8.6791279309750688</v>
      </c>
      <c r="J29" s="469">
        <f t="shared" si="6"/>
        <v>2.6089161038245208</v>
      </c>
      <c r="K29" s="481">
        <f t="shared" si="7"/>
        <v>66.266469037142826</v>
      </c>
    </row>
    <row r="30" spans="1:17" x14ac:dyDescent="0.2">
      <c r="A30">
        <v>19</v>
      </c>
      <c r="B30" t="s">
        <v>54</v>
      </c>
      <c r="C30">
        <v>83</v>
      </c>
      <c r="D30" s="481">
        <f t="shared" si="0"/>
        <v>987.76660251224826</v>
      </c>
      <c r="E30" s="469">
        <f t="shared" si="1"/>
        <v>10.866043822552431</v>
      </c>
      <c r="F30" s="481">
        <f t="shared" si="2"/>
        <v>275.99751309283175</v>
      </c>
      <c r="G30" s="469">
        <f t="shared" si="3"/>
        <v>1.2906976744186047</v>
      </c>
      <c r="H30" s="469">
        <f t="shared" si="4"/>
        <v>2.4339938162517445</v>
      </c>
      <c r="I30" s="469">
        <f t="shared" si="5"/>
        <v>8.4320500063006865</v>
      </c>
      <c r="J30" s="469">
        <f t="shared" si="6"/>
        <v>2.4049600648403064</v>
      </c>
      <c r="K30" s="481">
        <f t="shared" si="7"/>
        <v>61.085985646943783</v>
      </c>
    </row>
    <row r="31" spans="1:17" x14ac:dyDescent="0.2">
      <c r="A31">
        <v>20</v>
      </c>
      <c r="B31" s="472" t="s">
        <v>55</v>
      </c>
      <c r="C31">
        <v>84</v>
      </c>
      <c r="D31" s="481">
        <f t="shared" si="0"/>
        <v>1046.5022612023945</v>
      </c>
      <c r="E31" s="469">
        <f t="shared" si="1"/>
        <v>10.556708647584513</v>
      </c>
      <c r="F31" s="481">
        <f t="shared" si="2"/>
        <v>268.14039964864662</v>
      </c>
      <c r="G31" s="469">
        <f t="shared" si="3"/>
        <v>1.2790697674418605</v>
      </c>
      <c r="H31" s="469">
        <f t="shared" si="4"/>
        <v>2.3647027370589311</v>
      </c>
      <c r="I31" s="469">
        <f t="shared" si="5"/>
        <v>8.192005910525582</v>
      </c>
      <c r="J31" s="469">
        <f t="shared" si="6"/>
        <v>2.2124511987268014</v>
      </c>
      <c r="K31" s="481">
        <f t="shared" si="7"/>
        <v>56.196260447660755</v>
      </c>
    </row>
    <row r="32" spans="1:17" x14ac:dyDescent="0.2">
      <c r="A32">
        <v>21</v>
      </c>
      <c r="B32" t="s">
        <v>1377</v>
      </c>
      <c r="C32">
        <v>85</v>
      </c>
      <c r="D32" s="481">
        <f t="shared" si="0"/>
        <v>1108.7305239074883</v>
      </c>
      <c r="E32" s="469">
        <f t="shared" si="1"/>
        <v>10.256179644580838</v>
      </c>
      <c r="F32" s="481">
        <f t="shared" si="2"/>
        <v>260.50696297235328</v>
      </c>
      <c r="G32" s="469">
        <f t="shared" si="3"/>
        <v>1.2674418604651163</v>
      </c>
      <c r="H32" s="469">
        <f t="shared" si="4"/>
        <v>2.2973842403861076</v>
      </c>
      <c r="I32" s="469">
        <f t="shared" si="5"/>
        <v>7.9587954041947304</v>
      </c>
      <c r="J32" s="469">
        <f t="shared" si="6"/>
        <v>2.0307470250387842</v>
      </c>
      <c r="K32" s="481">
        <f t="shared" si="7"/>
        <v>51.580974435985119</v>
      </c>
    </row>
    <row r="33" spans="1:11" x14ac:dyDescent="0.2">
      <c r="A33">
        <v>22</v>
      </c>
      <c r="B33" t="s">
        <v>58</v>
      </c>
      <c r="C33">
        <v>86</v>
      </c>
      <c r="D33" s="481">
        <f t="shared" si="0"/>
        <v>1174.6590716696303</v>
      </c>
      <c r="E33" s="469">
        <f t="shared" si="1"/>
        <v>9.9642061189197211</v>
      </c>
      <c r="F33" s="481">
        <f t="shared" si="2"/>
        <v>253.09083542056089</v>
      </c>
      <c r="G33" s="469">
        <f t="shared" si="3"/>
        <v>1.2558139534883721</v>
      </c>
      <c r="H33" s="469">
        <f t="shared" si="4"/>
        <v>2.2319821706380174</v>
      </c>
      <c r="I33" s="469">
        <f t="shared" si="5"/>
        <v>7.7322239482817041</v>
      </c>
      <c r="J33" s="469">
        <f t="shared" si="6"/>
        <v>1.859241122987612</v>
      </c>
      <c r="K33" s="481">
        <f t="shared" si="7"/>
        <v>47.224724523885342</v>
      </c>
    </row>
    <row r="34" spans="1:11" x14ac:dyDescent="0.2">
      <c r="A34">
        <v>23</v>
      </c>
      <c r="B34" t="s">
        <v>1378</v>
      </c>
      <c r="C34">
        <v>87</v>
      </c>
      <c r="D34" s="481">
        <f t="shared" si="0"/>
        <v>1244.5079348883235</v>
      </c>
      <c r="E34" s="469">
        <f t="shared" si="1"/>
        <v>9.680544512768714</v>
      </c>
      <c r="F34" s="481">
        <f t="shared" si="2"/>
        <v>245.88583062432531</v>
      </c>
      <c r="G34" s="469">
        <f t="shared" si="3"/>
        <v>1.2441860465116279</v>
      </c>
      <c r="H34" s="469">
        <f t="shared" si="4"/>
        <v>2.1684419708601919</v>
      </c>
      <c r="I34" s="469">
        <f t="shared" si="5"/>
        <v>7.5121025419085221</v>
      </c>
      <c r="J34" s="469">
        <f t="shared" si="6"/>
        <v>1.6973611075682085</v>
      </c>
      <c r="K34" s="481">
        <f t="shared" si="7"/>
        <v>43.112972132232493</v>
      </c>
    </row>
    <row r="35" spans="1:11" x14ac:dyDescent="0.2">
      <c r="A35">
        <v>24</v>
      </c>
      <c r="B35" t="s">
        <v>248</v>
      </c>
      <c r="C35">
        <v>88</v>
      </c>
      <c r="D35" s="481">
        <f t="shared" si="0"/>
        <v>1318.5102276514795</v>
      </c>
      <c r="E35" s="469">
        <f t="shared" si="1"/>
        <v>9.4049582019140772</v>
      </c>
      <c r="F35" s="481">
        <f t="shared" si="2"/>
        <v>238.88593832861756</v>
      </c>
      <c r="G35" s="469">
        <f t="shared" si="3"/>
        <v>1.2325581395348837</v>
      </c>
      <c r="H35" s="469">
        <f t="shared" si="4"/>
        <v>2.1067106372287534</v>
      </c>
      <c r="I35" s="469">
        <f t="shared" si="5"/>
        <v>7.2982475646853242</v>
      </c>
      <c r="J35" s="469">
        <f t="shared" si="6"/>
        <v>1.5445667192773169</v>
      </c>
      <c r="K35" s="481">
        <f t="shared" si="7"/>
        <v>39.231994669643846</v>
      </c>
    </row>
    <row r="36" spans="1:11" x14ac:dyDescent="0.2">
      <c r="A36">
        <v>25</v>
      </c>
      <c r="B36" t="s">
        <v>249</v>
      </c>
      <c r="C36">
        <v>89</v>
      </c>
      <c r="D36" s="481">
        <f t="shared" si="0"/>
        <v>1396.9129257320155</v>
      </c>
      <c r="E36" s="469">
        <f t="shared" si="1"/>
        <v>9.1372172983741091</v>
      </c>
      <c r="F36" s="481">
        <f t="shared" si="2"/>
        <v>232.08531937870237</v>
      </c>
      <c r="G36" s="469">
        <f t="shared" si="3"/>
        <v>1.2209302325581395</v>
      </c>
      <c r="H36" s="469">
        <f t="shared" si="4"/>
        <v>2.0467366748358007</v>
      </c>
      <c r="I36" s="469">
        <f t="shared" si="5"/>
        <v>7.0904806235383093</v>
      </c>
      <c r="J36" s="469">
        <f t="shared" si="6"/>
        <v>1.4003480210476309</v>
      </c>
      <c r="K36" s="481">
        <f t="shared" si="7"/>
        <v>35.568839734609824</v>
      </c>
    </row>
    <row r="37" spans="1:11" x14ac:dyDescent="0.2">
      <c r="A37">
        <v>26</v>
      </c>
      <c r="B37" t="s">
        <v>1379</v>
      </c>
      <c r="C37">
        <v>90</v>
      </c>
      <c r="D37" s="481">
        <f t="shared" si="0"/>
        <v>1479.9776908465376</v>
      </c>
      <c r="E37" s="469">
        <f t="shared" si="1"/>
        <v>8.8770984586317052</v>
      </c>
      <c r="F37" s="481">
        <f t="shared" si="2"/>
        <v>225.4783008492453</v>
      </c>
      <c r="G37" s="469">
        <f t="shared" si="3"/>
        <v>1.2093023255813953</v>
      </c>
      <c r="H37" s="469">
        <f t="shared" si="4"/>
        <v>1.9884700547335019</v>
      </c>
      <c r="I37" s="469">
        <f t="shared" si="5"/>
        <v>6.8886284038982035</v>
      </c>
      <c r="J37" s="469">
        <f t="shared" si="6"/>
        <v>1.2642236963802382</v>
      </c>
      <c r="K37" s="481">
        <f t="shared" si="7"/>
        <v>32.111281888058052</v>
      </c>
    </row>
    <row r="38" spans="1:11" x14ac:dyDescent="0.2">
      <c r="A38">
        <v>27</v>
      </c>
      <c r="B38" t="s">
        <v>257</v>
      </c>
      <c r="C38">
        <v>91</v>
      </c>
      <c r="D38" s="481">
        <f t="shared" si="0"/>
        <v>1567.9817439269968</v>
      </c>
      <c r="E38" s="469">
        <f t="shared" si="1"/>
        <v>8.6243846973261444</v>
      </c>
      <c r="F38" s="481">
        <f t="shared" si="2"/>
        <v>219.05937131208407</v>
      </c>
      <c r="G38" s="469">
        <f t="shared" si="3"/>
        <v>1.1976744186046511</v>
      </c>
      <c r="H38" s="469">
        <f t="shared" si="4"/>
        <v>1.9318621722010565</v>
      </c>
      <c r="I38" s="469">
        <f t="shared" si="5"/>
        <v>6.6925225251250886</v>
      </c>
      <c r="J38" s="469">
        <f t="shared" si="6"/>
        <v>1.1357394429955434</v>
      </c>
      <c r="K38" s="481">
        <f t="shared" si="7"/>
        <v>28.847781852086801</v>
      </c>
    </row>
    <row r="39" spans="1:11" x14ac:dyDescent="0.2">
      <c r="A39">
        <v>28</v>
      </c>
      <c r="B39" t="s">
        <v>1380</v>
      </c>
      <c r="C39">
        <v>92</v>
      </c>
      <c r="D39" s="481">
        <f t="shared" si="0"/>
        <v>1661.2187903197805</v>
      </c>
      <c r="E39" s="469">
        <f t="shared" si="1"/>
        <v>8.3788652062487206</v>
      </c>
      <c r="F39" s="481">
        <f t="shared" si="2"/>
        <v>212.82317623871748</v>
      </c>
      <c r="G39" s="469">
        <f t="shared" si="3"/>
        <v>1.1860465116279069</v>
      </c>
      <c r="H39" s="469">
        <f t="shared" si="4"/>
        <v>1.8768658061997134</v>
      </c>
      <c r="I39" s="469">
        <f t="shared" si="5"/>
        <v>6.5019994000490078</v>
      </c>
      <c r="J39" s="469">
        <f t="shared" si="6"/>
        <v>1.0144664566416437</v>
      </c>
      <c r="K39" s="481">
        <f t="shared" si="7"/>
        <v>25.767447998697747</v>
      </c>
    </row>
    <row r="40" spans="1:11" x14ac:dyDescent="0.2">
      <c r="A40">
        <v>29</v>
      </c>
      <c r="B40" t="s">
        <v>261</v>
      </c>
      <c r="C40">
        <v>93</v>
      </c>
      <c r="D40" s="481">
        <f t="shared" si="0"/>
        <v>1760</v>
      </c>
      <c r="E40" s="469">
        <f t="shared" si="1"/>
        <v>8.1403351784912292</v>
      </c>
      <c r="F40" s="481">
        <f t="shared" si="2"/>
        <v>206.76451353367722</v>
      </c>
      <c r="G40" s="469">
        <f t="shared" si="3"/>
        <v>1.1744186046511629</v>
      </c>
      <c r="H40" s="469">
        <f t="shared" si="4"/>
        <v>1.8234350799820354</v>
      </c>
      <c r="I40" s="469">
        <f t="shared" si="5"/>
        <v>6.3169000985091941</v>
      </c>
      <c r="J40" s="469">
        <f t="shared" si="6"/>
        <v>0.90000000000000013</v>
      </c>
      <c r="K40" s="481">
        <f t="shared" si="7"/>
        <v>22.860000000000003</v>
      </c>
    </row>
    <row r="41" spans="1:11" x14ac:dyDescent="0.2">
      <c r="A41">
        <v>30</v>
      </c>
      <c r="B41" t="s">
        <v>1381</v>
      </c>
      <c r="C41">
        <v>94</v>
      </c>
      <c r="D41" s="481">
        <f t="shared" si="0"/>
        <v>1864.6550460723597</v>
      </c>
      <c r="E41" s="469">
        <f t="shared" si="1"/>
        <v>7.9085956376005671</v>
      </c>
      <c r="F41" s="481">
        <f t="shared" si="2"/>
        <v>200.87832919505439</v>
      </c>
      <c r="G41" s="469">
        <f t="shared" si="3"/>
        <v>1.1627906976744187</v>
      </c>
      <c r="H41" s="469">
        <f t="shared" si="4"/>
        <v>1.771525422822527</v>
      </c>
      <c r="I41" s="469">
        <f t="shared" si="5"/>
        <v>6.1370702147780403</v>
      </c>
      <c r="J41" s="469">
        <f t="shared" si="6"/>
        <v>0.79195805191225999</v>
      </c>
      <c r="K41" s="481">
        <f t="shared" si="7"/>
        <v>20.115734518571404</v>
      </c>
    </row>
    <row r="42" spans="1:11" x14ac:dyDescent="0.2">
      <c r="A42">
        <v>31</v>
      </c>
      <c r="B42" t="s">
        <v>266</v>
      </c>
      <c r="C42">
        <v>95</v>
      </c>
      <c r="D42" s="481">
        <f t="shared" si="0"/>
        <v>1975.5332050244961</v>
      </c>
      <c r="E42" s="469">
        <f t="shared" si="1"/>
        <v>7.6834532715970196</v>
      </c>
      <c r="F42" s="481">
        <f t="shared" si="2"/>
        <v>195.15971309856428</v>
      </c>
      <c r="G42" s="469">
        <f t="shared" si="3"/>
        <v>1.1511627906976745</v>
      </c>
      <c r="H42" s="469">
        <f t="shared" si="4"/>
        <v>1.7210935328377324</v>
      </c>
      <c r="I42" s="469">
        <f t="shared" si="5"/>
        <v>5.9623597387592877</v>
      </c>
      <c r="J42" s="469">
        <f t="shared" si="6"/>
        <v>0.68998003242015349</v>
      </c>
      <c r="K42" s="481">
        <f t="shared" si="7"/>
        <v>17.525492823471897</v>
      </c>
    </row>
    <row r="43" spans="1:11" x14ac:dyDescent="0.2">
      <c r="A43">
        <v>32</v>
      </c>
      <c r="B43" s="472" t="s">
        <v>267</v>
      </c>
      <c r="C43">
        <v>96</v>
      </c>
      <c r="D43" s="481">
        <f t="shared" si="0"/>
        <v>2093.004522404789</v>
      </c>
      <c r="E43" s="469">
        <f t="shared" si="1"/>
        <v>7.4647202717176757</v>
      </c>
      <c r="F43" s="481">
        <f t="shared" si="2"/>
        <v>189.60389490162896</v>
      </c>
      <c r="G43" s="469">
        <f t="shared" si="3"/>
        <v>1.1395348837209303</v>
      </c>
      <c r="H43" s="469">
        <f t="shared" si="4"/>
        <v>1.6720973408647595</v>
      </c>
      <c r="I43" s="469">
        <f t="shared" si="5"/>
        <v>5.7926229308529162</v>
      </c>
      <c r="J43" s="469">
        <f t="shared" si="6"/>
        <v>0.59372559936340075</v>
      </c>
      <c r="K43" s="481">
        <f t="shared" si="7"/>
        <v>15.080630223830378</v>
      </c>
    </row>
    <row r="44" spans="1:11" x14ac:dyDescent="0.2">
      <c r="A44">
        <v>33</v>
      </c>
      <c r="B44" t="s">
        <v>2128</v>
      </c>
      <c r="C44">
        <v>97</v>
      </c>
      <c r="D44" s="481">
        <f t="shared" si="0"/>
        <v>2217.4610478149771</v>
      </c>
      <c r="E44" s="469">
        <f t="shared" si="1"/>
        <v>7.2522141757505452</v>
      </c>
      <c r="F44" s="481">
        <f t="shared" si="2"/>
        <v>184.20624006406385</v>
      </c>
      <c r="G44" s="469">
        <f t="shared" si="3"/>
        <v>1.1279069767441861</v>
      </c>
      <c r="H44" s="469">
        <f t="shared" si="4"/>
        <v>1.6244959753681221</v>
      </c>
      <c r="I44" s="469">
        <f t="shared" si="5"/>
        <v>5.6277182003824233</v>
      </c>
      <c r="J44" s="469">
        <f t="shared" si="6"/>
        <v>0.50287351251939194</v>
      </c>
      <c r="K44" s="481">
        <f t="shared" si="7"/>
        <v>12.772987217992554</v>
      </c>
    </row>
    <row r="45" spans="1:11" x14ac:dyDescent="0.2">
      <c r="A45">
        <v>34</v>
      </c>
      <c r="B45" t="s">
        <v>271</v>
      </c>
      <c r="C45">
        <v>98</v>
      </c>
      <c r="D45" s="481">
        <f t="shared" si="0"/>
        <v>2349.3181433392601</v>
      </c>
      <c r="E45" s="469">
        <f t="shared" si="1"/>
        <v>7.0457577158286258</v>
      </c>
      <c r="F45" s="481">
        <f t="shared" si="2"/>
        <v>178.96224598204708</v>
      </c>
      <c r="G45" s="469">
        <f t="shared" si="3"/>
        <v>1.1162790697674418</v>
      </c>
      <c r="H45" s="469">
        <f t="shared" si="4"/>
        <v>1.5782497283456123</v>
      </c>
      <c r="I45" s="469">
        <f t="shared" si="5"/>
        <v>5.4675079874830139</v>
      </c>
      <c r="J45" s="469" t="str">
        <f t="shared" si="6"/>
        <v>none</v>
      </c>
      <c r="K45" s="481" t="str">
        <f t="shared" si="7"/>
        <v>none</v>
      </c>
    </row>
    <row r="46" spans="1:11" x14ac:dyDescent="0.2">
      <c r="A46">
        <v>35</v>
      </c>
      <c r="B46" t="s">
        <v>2129</v>
      </c>
      <c r="C46">
        <v>99</v>
      </c>
      <c r="D46" s="481">
        <f t="shared" si="0"/>
        <v>2489.0158697766474</v>
      </c>
      <c r="E46" s="469">
        <f t="shared" si="1"/>
        <v>6.8451786705569804</v>
      </c>
      <c r="F46" s="481">
        <f t="shared" si="2"/>
        <v>173.8675382321473</v>
      </c>
      <c r="G46" s="469">
        <f t="shared" si="3"/>
        <v>1.1046511627906976</v>
      </c>
      <c r="H46" s="469">
        <f t="shared" si="4"/>
        <v>1.5333200222047636</v>
      </c>
      <c r="I46" s="469">
        <f t="shared" si="5"/>
        <v>5.3118586483522172</v>
      </c>
      <c r="J46" s="469" t="str">
        <f t="shared" si="6"/>
        <v>none</v>
      </c>
      <c r="K46" s="481" t="str">
        <f t="shared" si="7"/>
        <v>none</v>
      </c>
    </row>
    <row r="47" spans="1:11" x14ac:dyDescent="0.2">
      <c r="A47">
        <v>36</v>
      </c>
      <c r="B47" t="s">
        <v>2130</v>
      </c>
      <c r="C47">
        <v>100</v>
      </c>
      <c r="D47" s="481">
        <f t="shared" si="0"/>
        <v>2637.0204553029598</v>
      </c>
      <c r="E47" s="469">
        <f t="shared" si="1"/>
        <v>6.6503097213494815</v>
      </c>
      <c r="F47" s="481">
        <f t="shared" si="2"/>
        <v>168.91786692227683</v>
      </c>
      <c r="G47" s="469">
        <f t="shared" si="3"/>
        <v>1.0930232558139534</v>
      </c>
      <c r="H47" s="469">
        <f t="shared" si="4"/>
        <v>1.4896693775822838</v>
      </c>
      <c r="I47" s="469">
        <f t="shared" si="5"/>
        <v>5.1606403437671977</v>
      </c>
      <c r="J47" s="469" t="str">
        <f t="shared" si="6"/>
        <v>none</v>
      </c>
      <c r="K47" s="481" t="str">
        <f t="shared" si="7"/>
        <v>none</v>
      </c>
    </row>
    <row r="48" spans="1:11" x14ac:dyDescent="0.2">
      <c r="A48">
        <v>37</v>
      </c>
      <c r="B48" t="s">
        <v>2131</v>
      </c>
      <c r="C48">
        <v>101</v>
      </c>
      <c r="D48" s="481">
        <f t="shared" si="0"/>
        <v>2793.8258514640311</v>
      </c>
      <c r="E48" s="469">
        <f t="shared" si="1"/>
        <v>6.460988312855358</v>
      </c>
      <c r="F48" s="481">
        <f t="shared" si="2"/>
        <v>164.10910314652608</v>
      </c>
      <c r="G48" s="469">
        <f t="shared" si="3"/>
        <v>1.0813953488372092</v>
      </c>
      <c r="H48" s="469">
        <f t="shared" si="4"/>
        <v>1.4472613820796003</v>
      </c>
      <c r="I48" s="469">
        <f t="shared" si="5"/>
        <v>5.0137269307757579</v>
      </c>
      <c r="J48" s="469" t="str">
        <f t="shared" si="6"/>
        <v>none</v>
      </c>
      <c r="K48" s="481" t="str">
        <f t="shared" si="7"/>
        <v>none</v>
      </c>
    </row>
    <row r="49" spans="1:11" x14ac:dyDescent="0.2">
      <c r="A49">
        <v>38</v>
      </c>
      <c r="B49" t="s">
        <v>2132</v>
      </c>
      <c r="C49">
        <v>102</v>
      </c>
      <c r="D49" s="481">
        <f t="shared" si="0"/>
        <v>2959.9553816930757</v>
      </c>
      <c r="E49" s="469">
        <f t="shared" si="1"/>
        <v>6.2770565173591271</v>
      </c>
      <c r="F49" s="481">
        <f t="shared" si="2"/>
        <v>159.43723554092182</v>
      </c>
      <c r="G49" s="469">
        <f t="shared" si="3"/>
        <v>1.069767441860465</v>
      </c>
      <c r="H49" s="469">
        <f t="shared" si="4"/>
        <v>1.4060606598884444</v>
      </c>
      <c r="I49" s="469">
        <f t="shared" si="5"/>
        <v>4.8709958574706826</v>
      </c>
      <c r="J49" s="469" t="str">
        <f t="shared" si="6"/>
        <v>none</v>
      </c>
      <c r="K49" s="481" t="str">
        <f t="shared" si="7"/>
        <v>none</v>
      </c>
    </row>
    <row r="50" spans="1:11" x14ac:dyDescent="0.2">
      <c r="A50">
        <v>39</v>
      </c>
      <c r="B50" t="s">
        <v>2133</v>
      </c>
      <c r="C50">
        <v>103</v>
      </c>
      <c r="D50" s="481">
        <f t="shared" si="0"/>
        <v>3135.9634878539941</v>
      </c>
      <c r="E50" s="469">
        <f t="shared" si="1"/>
        <v>6.0983609030408061</v>
      </c>
      <c r="F50" s="481">
        <f t="shared" si="2"/>
        <v>154.89836693723646</v>
      </c>
      <c r="G50" s="469">
        <f t="shared" si="3"/>
        <v>1.058139534883721</v>
      </c>
      <c r="H50" s="469">
        <f t="shared" si="4"/>
        <v>1.3660328422811405</v>
      </c>
      <c r="I50" s="469">
        <f t="shared" si="5"/>
        <v>4.7323280607596656</v>
      </c>
      <c r="J50" s="469" t="str">
        <f t="shared" si="6"/>
        <v>none</v>
      </c>
      <c r="K50" s="481" t="str">
        <f t="shared" si="7"/>
        <v>none</v>
      </c>
    </row>
    <row r="51" spans="1:11" x14ac:dyDescent="0.2">
      <c r="A51">
        <v>40</v>
      </c>
      <c r="B51" t="s">
        <v>2134</v>
      </c>
      <c r="C51">
        <v>104</v>
      </c>
      <c r="D51" s="481">
        <f t="shared" si="0"/>
        <v>3322.4375806395601</v>
      </c>
      <c r="E51" s="469">
        <f t="shared" si="1"/>
        <v>5.9247524059864913</v>
      </c>
      <c r="F51" s="481">
        <f t="shared" si="2"/>
        <v>150.48871111205688</v>
      </c>
      <c r="G51" s="469">
        <f t="shared" si="3"/>
        <v>1.0465116279069768</v>
      </c>
      <c r="H51" s="469">
        <f t="shared" si="4"/>
        <v>1.3271445389409742</v>
      </c>
      <c r="I51" s="469">
        <f t="shared" si="5"/>
        <v>4.5976078670455172</v>
      </c>
      <c r="J51" s="469" t="str">
        <f t="shared" si="6"/>
        <v>none</v>
      </c>
      <c r="K51" s="481" t="str">
        <f t="shared" si="7"/>
        <v>none</v>
      </c>
    </row>
    <row r="52" spans="1:11" x14ac:dyDescent="0.2">
      <c r="A52">
        <v>41</v>
      </c>
      <c r="B52" t="s">
        <v>2135</v>
      </c>
      <c r="C52">
        <v>105</v>
      </c>
      <c r="D52" s="481">
        <f t="shared" si="0"/>
        <v>3520</v>
      </c>
      <c r="E52" s="469">
        <f t="shared" si="1"/>
        <v>5.7560862058425526</v>
      </c>
      <c r="F52" s="481">
        <f t="shared" si="2"/>
        <v>146.20458962840084</v>
      </c>
      <c r="G52" s="469">
        <f t="shared" si="3"/>
        <v>1.0348837209302326</v>
      </c>
      <c r="H52" s="469">
        <f t="shared" si="4"/>
        <v>1.2893633101087318</v>
      </c>
      <c r="I52" s="469">
        <f t="shared" si="5"/>
        <v>4.4667228957338212</v>
      </c>
      <c r="J52" s="469" t="str">
        <f t="shared" si="6"/>
        <v>none</v>
      </c>
      <c r="K52" s="481" t="str">
        <f t="shared" si="7"/>
        <v>none</v>
      </c>
    </row>
    <row r="53" spans="1:11" x14ac:dyDescent="0.2">
      <c r="A53">
        <v>42</v>
      </c>
      <c r="B53" t="s">
        <v>2136</v>
      </c>
      <c r="C53">
        <v>106</v>
      </c>
      <c r="D53" s="481">
        <f t="shared" si="0"/>
        <v>3729.3100921447194</v>
      </c>
      <c r="E53" s="469">
        <f t="shared" si="1"/>
        <v>5.5922216050097084</v>
      </c>
      <c r="F53" s="481">
        <f t="shared" si="2"/>
        <v>142.04242876724658</v>
      </c>
      <c r="G53" s="469">
        <f t="shared" si="3"/>
        <v>1.0232558139534884</v>
      </c>
      <c r="H53" s="469">
        <f t="shared" si="4"/>
        <v>1.2526576395221747</v>
      </c>
      <c r="I53" s="469">
        <f t="shared" si="5"/>
        <v>4.3395639654875335</v>
      </c>
      <c r="J53" s="469" t="str">
        <f t="shared" si="6"/>
        <v>none</v>
      </c>
      <c r="K53" s="481" t="str">
        <f t="shared" si="7"/>
        <v>none</v>
      </c>
    </row>
    <row r="54" spans="1:11" x14ac:dyDescent="0.2">
      <c r="A54">
        <v>43</v>
      </c>
      <c r="B54" t="s">
        <v>2137</v>
      </c>
      <c r="C54">
        <v>107</v>
      </c>
      <c r="D54" s="481">
        <f t="shared" si="0"/>
        <v>3951.0664100489917</v>
      </c>
      <c r="E54" s="469">
        <f t="shared" si="1"/>
        <v>5.4330219112762164</v>
      </c>
      <c r="F54" s="481">
        <f t="shared" si="2"/>
        <v>137.99875654641588</v>
      </c>
      <c r="G54" s="469">
        <f t="shared" si="3"/>
        <v>1.0116279069767442</v>
      </c>
      <c r="H54" s="469">
        <f t="shared" si="4"/>
        <v>1.2169969081258725</v>
      </c>
      <c r="I54" s="469">
        <f t="shared" si="5"/>
        <v>4.2160250031503441</v>
      </c>
      <c r="J54" s="469" t="str">
        <f t="shared" si="6"/>
        <v>none</v>
      </c>
      <c r="K54" s="481" t="str">
        <f t="shared" si="7"/>
        <v>none</v>
      </c>
    </row>
    <row r="55" spans="1:11" x14ac:dyDescent="0.2">
      <c r="A55">
        <v>44</v>
      </c>
      <c r="B55" s="472" t="s">
        <v>2138</v>
      </c>
      <c r="C55">
        <v>108</v>
      </c>
      <c r="D55" s="481">
        <f t="shared" si="0"/>
        <v>4186.0090448095771</v>
      </c>
      <c r="E55" s="469">
        <f t="shared" si="1"/>
        <v>5.2783543237922563</v>
      </c>
      <c r="F55" s="481">
        <f t="shared" si="2"/>
        <v>134.07019982432331</v>
      </c>
      <c r="G55" s="469">
        <f t="shared" si="3"/>
        <v>1</v>
      </c>
      <c r="H55" s="469">
        <f t="shared" si="4"/>
        <v>1.1823513685294655</v>
      </c>
      <c r="I55" s="469">
        <f t="shared" si="5"/>
        <v>4.096002955262791</v>
      </c>
      <c r="J55" s="469" t="str">
        <f t="shared" si="6"/>
        <v>none</v>
      </c>
      <c r="K55" s="481" t="str">
        <f t="shared" si="7"/>
        <v>none</v>
      </c>
    </row>
    <row r="58" spans="1:11" ht="18" x14ac:dyDescent="0.25">
      <c r="A58" s="838" t="s">
        <v>7245</v>
      </c>
    </row>
    <row r="59" spans="1:11" x14ac:dyDescent="0.2">
      <c r="A59" s="734" t="s">
        <v>7246</v>
      </c>
    </row>
    <row r="61" spans="1:11" x14ac:dyDescent="0.2">
      <c r="A61" s="839" t="s">
        <v>7247</v>
      </c>
    </row>
    <row r="62" spans="1:11" x14ac:dyDescent="0.2">
      <c r="A62" s="842" t="s">
        <v>7248</v>
      </c>
    </row>
    <row r="63" spans="1:11" x14ac:dyDescent="0.2">
      <c r="A63" s="759" t="s">
        <v>7249</v>
      </c>
    </row>
    <row r="64" spans="1:11" x14ac:dyDescent="0.2">
      <c r="A64" t="s">
        <v>7250</v>
      </c>
    </row>
    <row r="66" spans="1:1" x14ac:dyDescent="0.2">
      <c r="A66" s="839" t="s">
        <v>7251</v>
      </c>
    </row>
    <row r="67" spans="1:1" x14ac:dyDescent="0.2">
      <c r="A67" s="842" t="s">
        <v>7252</v>
      </c>
    </row>
    <row r="68" spans="1:1" x14ac:dyDescent="0.2">
      <c r="A68" t="s">
        <v>7253</v>
      </c>
    </row>
    <row r="69" spans="1:1" x14ac:dyDescent="0.2">
      <c r="A69" t="s">
        <v>7254</v>
      </c>
    </row>
    <row r="70" spans="1:1" x14ac:dyDescent="0.2">
      <c r="A70" t="s">
        <v>6771</v>
      </c>
    </row>
    <row r="71" spans="1:1" x14ac:dyDescent="0.2">
      <c r="A71" s="839" t="s">
        <v>7255</v>
      </c>
    </row>
    <row r="72" spans="1:1" x14ac:dyDescent="0.2">
      <c r="A72" s="843" t="s">
        <v>7256</v>
      </c>
    </row>
    <row r="73" spans="1:1" x14ac:dyDescent="0.2">
      <c r="A73" t="s">
        <v>7257</v>
      </c>
    </row>
    <row r="74" spans="1:1" x14ac:dyDescent="0.2">
      <c r="A74" t="s">
        <v>7258</v>
      </c>
    </row>
    <row r="75" spans="1:1" x14ac:dyDescent="0.2">
      <c r="A75" t="s">
        <v>6772</v>
      </c>
    </row>
    <row r="76" spans="1:1" x14ac:dyDescent="0.2">
      <c r="A76" s="839" t="s">
        <v>7259</v>
      </c>
    </row>
    <row r="77" spans="1:1" x14ac:dyDescent="0.2">
      <c r="A77" s="843" t="s">
        <v>7260</v>
      </c>
    </row>
    <row r="78" spans="1:1" x14ac:dyDescent="0.2">
      <c r="A78" t="s">
        <v>7261</v>
      </c>
    </row>
    <row r="79" spans="1:1" x14ac:dyDescent="0.2">
      <c r="A79" t="s">
        <v>7262</v>
      </c>
    </row>
    <row r="81" spans="1:1" x14ac:dyDescent="0.2">
      <c r="A81" s="609" t="s">
        <v>6661</v>
      </c>
    </row>
    <row r="82" spans="1:1" x14ac:dyDescent="0.2">
      <c r="A82" t="s">
        <v>6773</v>
      </c>
    </row>
    <row r="83" spans="1:1" x14ac:dyDescent="0.2">
      <c r="A83" t="s">
        <v>6774</v>
      </c>
    </row>
    <row r="84" spans="1:1" x14ac:dyDescent="0.2">
      <c r="A84" t="s">
        <v>6775</v>
      </c>
    </row>
    <row r="85" spans="1:1" x14ac:dyDescent="0.2">
      <c r="A85" t="s">
        <v>6776</v>
      </c>
    </row>
    <row r="87" spans="1:1" x14ac:dyDescent="0.2">
      <c r="A87" s="609" t="s">
        <v>6682</v>
      </c>
    </row>
    <row r="88" spans="1:1" x14ac:dyDescent="0.2">
      <c r="A88" t="s">
        <v>6777</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0875E-A423-41BA-993C-7B3B28555A91}">
  <dimension ref="A1:F123"/>
  <sheetViews>
    <sheetView workbookViewId="0">
      <pane ySplit="3" topLeftCell="A4" activePane="bottomLeft" state="frozen"/>
      <selection pane="bottomLeft"/>
    </sheetView>
  </sheetViews>
  <sheetFormatPr defaultRowHeight="12.75" x14ac:dyDescent="0.2"/>
  <cols>
    <col min="1" max="1" width="137.140625" customWidth="1"/>
    <col min="2" max="2" width="38.140625" customWidth="1"/>
    <col min="3" max="3" width="53.28515625" customWidth="1"/>
    <col min="4" max="4" width="26.7109375" customWidth="1"/>
    <col min="5" max="5" width="7.5703125" customWidth="1"/>
    <col min="6" max="6" width="41.85546875" customWidth="1"/>
  </cols>
  <sheetData>
    <row r="1" spans="1:3" ht="18" x14ac:dyDescent="0.25">
      <c r="A1" s="470" t="s">
        <v>2264</v>
      </c>
    </row>
    <row r="2" spans="1:3" x14ac:dyDescent="0.2">
      <c r="A2" s="537" t="s">
        <v>2265</v>
      </c>
    </row>
    <row r="4" spans="1:3" ht="15.75" x14ac:dyDescent="0.25">
      <c r="A4" s="692" t="s">
        <v>1443</v>
      </c>
    </row>
    <row r="5" spans="1:3" x14ac:dyDescent="0.2">
      <c r="A5" s="472" t="s">
        <v>2266</v>
      </c>
      <c r="B5" s="564">
        <v>32</v>
      </c>
      <c r="C5" s="598" t="s">
        <v>2267</v>
      </c>
    </row>
    <row r="6" spans="1:3" x14ac:dyDescent="0.2">
      <c r="A6" s="472" t="s">
        <v>2268</v>
      </c>
      <c r="B6" s="564" t="s">
        <v>2269</v>
      </c>
      <c r="C6" s="598" t="s">
        <v>2270</v>
      </c>
    </row>
    <row r="7" spans="1:3" x14ac:dyDescent="0.2">
      <c r="A7" s="472" t="s">
        <v>2271</v>
      </c>
      <c r="B7" s="596">
        <v>0.05</v>
      </c>
      <c r="C7" s="598" t="s">
        <v>2272</v>
      </c>
    </row>
    <row r="8" spans="1:3" x14ac:dyDescent="0.2">
      <c r="A8" s="472" t="s">
        <v>2273</v>
      </c>
      <c r="B8" s="564" t="s">
        <v>386</v>
      </c>
    </row>
    <row r="9" spans="1:3" x14ac:dyDescent="0.2">
      <c r="A9" s="472" t="s">
        <v>2274</v>
      </c>
      <c r="B9" s="564" t="s">
        <v>1251</v>
      </c>
    </row>
    <row r="10" spans="1:3" x14ac:dyDescent="0.2">
      <c r="A10" s="472" t="s">
        <v>2275</v>
      </c>
      <c r="B10" s="564">
        <v>18</v>
      </c>
      <c r="C10" s="598" t="s">
        <v>2276</v>
      </c>
    </row>
    <row r="12" spans="1:3" ht="15.75" x14ac:dyDescent="0.25">
      <c r="A12" s="663" t="s">
        <v>2277</v>
      </c>
    </row>
    <row r="13" spans="1:3" x14ac:dyDescent="0.2">
      <c r="A13" s="472" t="s">
        <v>2278</v>
      </c>
      <c r="B13" s="469">
        <f>440*2^((VLOOKUP(B6,A43:B54,2,FALSE)-69)/12)</f>
        <v>41.203444614108754</v>
      </c>
    </row>
    <row r="14" spans="1:3" x14ac:dyDescent="0.2">
      <c r="A14" s="472" t="s">
        <v>2279</v>
      </c>
      <c r="B14" s="468">
        <f>0.04155*PI()*(B7/2)^2</f>
        <v>8.1583234222909956E-5</v>
      </c>
      <c r="C14" s="598" t="s">
        <v>2280</v>
      </c>
    </row>
    <row r="15" spans="1:3" x14ac:dyDescent="0.2">
      <c r="A15" s="472" t="s">
        <v>2281</v>
      </c>
      <c r="B15" s="481">
        <f>B14*4*B5^2*B13^2/386.4</f>
        <v>1.4682188571322117</v>
      </c>
      <c r="C15" s="598" t="s">
        <v>2282</v>
      </c>
    </row>
    <row r="16" spans="1:3" x14ac:dyDescent="0.2">
      <c r="A16" s="472" t="s">
        <v>2283</v>
      </c>
      <c r="B16" s="711">
        <f>0.04155*4*B5^2*B13^2/(44600*386.4)*100</f>
        <v>1.6765868244184732</v>
      </c>
    </row>
    <row r="17" spans="1:6" x14ac:dyDescent="0.2">
      <c r="A17" s="472" t="s">
        <v>2284</v>
      </c>
      <c r="B17" s="641" t="s">
        <v>2285</v>
      </c>
      <c r="C17" s="598" t="s">
        <v>2286</v>
      </c>
    </row>
    <row r="19" spans="1:6" ht="15.75" x14ac:dyDescent="0.25">
      <c r="A19" s="660" t="s">
        <v>1543</v>
      </c>
    </row>
    <row r="20" spans="1:6" x14ac:dyDescent="0.2">
      <c r="A20" s="484" t="s">
        <v>610</v>
      </c>
      <c r="B20" s="484" t="s">
        <v>1971</v>
      </c>
      <c r="C20" s="484" t="s">
        <v>2287</v>
      </c>
      <c r="D20" s="484" t="s">
        <v>1972</v>
      </c>
      <c r="E20" s="484" t="s">
        <v>1546</v>
      </c>
      <c r="F20" s="484" t="s">
        <v>2288</v>
      </c>
    </row>
    <row r="21" spans="1:6" x14ac:dyDescent="0.2">
      <c r="A21">
        <v>1</v>
      </c>
      <c r="B21" t="s">
        <v>2289</v>
      </c>
      <c r="C21" t="s">
        <v>2290</v>
      </c>
      <c r="D21" t="s">
        <v>2291</v>
      </c>
      <c r="E21">
        <v>1</v>
      </c>
      <c r="F21" t="s">
        <v>2292</v>
      </c>
    </row>
    <row r="22" spans="1:6" x14ac:dyDescent="0.2">
      <c r="A22">
        <v>2</v>
      </c>
      <c r="B22" t="s">
        <v>1803</v>
      </c>
      <c r="C22" t="s">
        <v>2293</v>
      </c>
      <c r="D22" t="s">
        <v>2294</v>
      </c>
      <c r="E22">
        <v>1</v>
      </c>
      <c r="F22" t="s">
        <v>2295</v>
      </c>
    </row>
    <row r="23" spans="1:6" x14ac:dyDescent="0.2">
      <c r="A23">
        <v>3</v>
      </c>
      <c r="B23" t="s">
        <v>2296</v>
      </c>
      <c r="C23" t="s">
        <v>2297</v>
      </c>
      <c r="D23" t="s">
        <v>2298</v>
      </c>
      <c r="E23">
        <v>1</v>
      </c>
      <c r="F23" t="s">
        <v>2299</v>
      </c>
    </row>
    <row r="24" spans="1:6" x14ac:dyDescent="0.2">
      <c r="A24">
        <v>4</v>
      </c>
      <c r="B24" t="s">
        <v>2300</v>
      </c>
      <c r="C24" t="s">
        <v>2301</v>
      </c>
      <c r="D24" t="s">
        <v>2302</v>
      </c>
      <c r="E24">
        <v>1</v>
      </c>
      <c r="F24" t="s">
        <v>2303</v>
      </c>
    </row>
    <row r="25" spans="1:6" x14ac:dyDescent="0.2">
      <c r="A25">
        <v>5</v>
      </c>
      <c r="B25" t="s">
        <v>2304</v>
      </c>
      <c r="C25" t="s">
        <v>2305</v>
      </c>
      <c r="D25" t="s">
        <v>2306</v>
      </c>
      <c r="E25">
        <v>1</v>
      </c>
      <c r="F25" t="s">
        <v>2307</v>
      </c>
    </row>
    <row r="26" spans="1:6" x14ac:dyDescent="0.2">
      <c r="A26">
        <v>6</v>
      </c>
      <c r="B26" t="s">
        <v>1558</v>
      </c>
      <c r="C26" t="s">
        <v>2308</v>
      </c>
      <c r="D26" t="s">
        <v>2309</v>
      </c>
      <c r="E26">
        <v>1</v>
      </c>
      <c r="F26" t="s">
        <v>2310</v>
      </c>
    </row>
    <row r="27" spans="1:6" x14ac:dyDescent="0.2">
      <c r="A27">
        <v>7</v>
      </c>
      <c r="B27" t="s">
        <v>2311</v>
      </c>
      <c r="C27" t="s">
        <v>2312</v>
      </c>
      <c r="D27" t="s">
        <v>2313</v>
      </c>
      <c r="E27">
        <v>1</v>
      </c>
      <c r="F27" t="s">
        <v>2314</v>
      </c>
    </row>
    <row r="28" spans="1:6" x14ac:dyDescent="0.2">
      <c r="A28">
        <v>8</v>
      </c>
      <c r="B28" t="s">
        <v>2315</v>
      </c>
      <c r="C28" t="s">
        <v>2316</v>
      </c>
      <c r="D28" t="s">
        <v>2317</v>
      </c>
      <c r="E28">
        <v>1</v>
      </c>
      <c r="F28" t="s">
        <v>2318</v>
      </c>
    </row>
    <row r="29" spans="1:6" x14ac:dyDescent="0.2">
      <c r="A29">
        <v>9</v>
      </c>
      <c r="B29" t="s">
        <v>2319</v>
      </c>
      <c r="C29" t="s">
        <v>2320</v>
      </c>
      <c r="D29" t="s">
        <v>1566</v>
      </c>
      <c r="E29">
        <v>1</v>
      </c>
      <c r="F29" t="s">
        <v>2321</v>
      </c>
    </row>
    <row r="30" spans="1:6" x14ac:dyDescent="0.2">
      <c r="A30">
        <v>10</v>
      </c>
      <c r="B30" t="s">
        <v>2322</v>
      </c>
      <c r="C30" t="s">
        <v>2323</v>
      </c>
      <c r="D30" t="s">
        <v>1566</v>
      </c>
      <c r="E30">
        <v>1</v>
      </c>
      <c r="F30" t="s">
        <v>2324</v>
      </c>
    </row>
    <row r="31" spans="1:6" x14ac:dyDescent="0.2">
      <c r="A31">
        <v>11</v>
      </c>
      <c r="B31" t="s">
        <v>2325</v>
      </c>
      <c r="C31" t="s">
        <v>2326</v>
      </c>
      <c r="D31" t="s">
        <v>2327</v>
      </c>
      <c r="E31">
        <v>1</v>
      </c>
      <c r="F31" t="s">
        <v>2328</v>
      </c>
    </row>
    <row r="32" spans="1:6" x14ac:dyDescent="0.2">
      <c r="A32">
        <v>12</v>
      </c>
      <c r="B32" t="s">
        <v>2329</v>
      </c>
      <c r="C32" t="s">
        <v>2330</v>
      </c>
      <c r="D32" t="s">
        <v>2331</v>
      </c>
      <c r="E32">
        <v>1</v>
      </c>
      <c r="F32" t="s">
        <v>2332</v>
      </c>
    </row>
    <row r="33" spans="1:6" x14ac:dyDescent="0.2">
      <c r="A33">
        <v>13</v>
      </c>
      <c r="B33" t="s">
        <v>1821</v>
      </c>
      <c r="C33" t="s">
        <v>2333</v>
      </c>
      <c r="D33" t="s">
        <v>2334</v>
      </c>
      <c r="E33">
        <v>1</v>
      </c>
      <c r="F33" t="s">
        <v>2335</v>
      </c>
    </row>
    <row r="34" spans="1:6" x14ac:dyDescent="0.2">
      <c r="A34">
        <v>14</v>
      </c>
      <c r="B34" t="s">
        <v>2336</v>
      </c>
      <c r="C34" t="s">
        <v>2337</v>
      </c>
      <c r="D34" t="s">
        <v>2338</v>
      </c>
      <c r="E34">
        <v>2</v>
      </c>
      <c r="F34" t="s">
        <v>2339</v>
      </c>
    </row>
    <row r="35" spans="1:6" x14ac:dyDescent="0.2">
      <c r="A35">
        <v>15</v>
      </c>
      <c r="B35" t="s">
        <v>2340</v>
      </c>
      <c r="C35" t="s">
        <v>2341</v>
      </c>
      <c r="D35" t="s">
        <v>2342</v>
      </c>
      <c r="E35">
        <v>1</v>
      </c>
      <c r="F35" t="s">
        <v>2343</v>
      </c>
    </row>
    <row r="36" spans="1:6" x14ac:dyDescent="0.2">
      <c r="A36">
        <v>16</v>
      </c>
      <c r="B36" t="s">
        <v>2344</v>
      </c>
      <c r="C36" t="s">
        <v>2345</v>
      </c>
      <c r="D36" t="s">
        <v>2346</v>
      </c>
      <c r="E36">
        <v>1</v>
      </c>
      <c r="F36" t="s">
        <v>2347</v>
      </c>
    </row>
    <row r="37" spans="1:6" x14ac:dyDescent="0.2">
      <c r="A37">
        <v>17</v>
      </c>
      <c r="B37" t="s">
        <v>1785</v>
      </c>
      <c r="C37" t="s">
        <v>2348</v>
      </c>
      <c r="D37" t="s">
        <v>2349</v>
      </c>
      <c r="E37">
        <v>1</v>
      </c>
      <c r="F37" t="s">
        <v>2350</v>
      </c>
    </row>
    <row r="38" spans="1:6" x14ac:dyDescent="0.2">
      <c r="A38">
        <v>18</v>
      </c>
      <c r="B38" t="s">
        <v>2351</v>
      </c>
      <c r="C38" t="s">
        <v>2352</v>
      </c>
      <c r="D38" t="s">
        <v>1566</v>
      </c>
      <c r="E38">
        <v>1</v>
      </c>
      <c r="F38" t="s">
        <v>2353</v>
      </c>
    </row>
    <row r="42" spans="1:6" x14ac:dyDescent="0.2">
      <c r="A42" s="712" t="s">
        <v>2361</v>
      </c>
    </row>
    <row r="43" spans="1:6" x14ac:dyDescent="0.2">
      <c r="A43" t="s">
        <v>2269</v>
      </c>
      <c r="B43">
        <v>28</v>
      </c>
    </row>
    <row r="44" spans="1:6" x14ac:dyDescent="0.2">
      <c r="A44" t="s">
        <v>2354</v>
      </c>
      <c r="B44">
        <v>29</v>
      </c>
    </row>
    <row r="45" spans="1:6" x14ac:dyDescent="0.2">
      <c r="A45" t="s">
        <v>2355</v>
      </c>
      <c r="B45">
        <v>31</v>
      </c>
    </row>
    <row r="46" spans="1:6" x14ac:dyDescent="0.2">
      <c r="A46" t="s">
        <v>2356</v>
      </c>
      <c r="B46">
        <v>33</v>
      </c>
    </row>
    <row r="47" spans="1:6" x14ac:dyDescent="0.2">
      <c r="A47" t="s">
        <v>2357</v>
      </c>
      <c r="B47">
        <v>35</v>
      </c>
    </row>
    <row r="48" spans="1:6" x14ac:dyDescent="0.2">
      <c r="A48" t="s">
        <v>2358</v>
      </c>
      <c r="B48">
        <v>36</v>
      </c>
    </row>
    <row r="49" spans="1:3" x14ac:dyDescent="0.2">
      <c r="A49" t="s">
        <v>2359</v>
      </c>
      <c r="B49">
        <v>38</v>
      </c>
    </row>
    <row r="50" spans="1:3" x14ac:dyDescent="0.2">
      <c r="A50" t="s">
        <v>2360</v>
      </c>
      <c r="B50">
        <v>40</v>
      </c>
    </row>
    <row r="51" spans="1:3" x14ac:dyDescent="0.2">
      <c r="A51" t="s">
        <v>996</v>
      </c>
      <c r="B51">
        <v>41</v>
      </c>
    </row>
    <row r="52" spans="1:3" x14ac:dyDescent="0.2">
      <c r="A52" t="s">
        <v>997</v>
      </c>
      <c r="B52">
        <v>43</v>
      </c>
    </row>
    <row r="53" spans="1:3" x14ac:dyDescent="0.2">
      <c r="A53" t="s">
        <v>998</v>
      </c>
      <c r="B53">
        <v>45</v>
      </c>
    </row>
    <row r="54" spans="1:3" x14ac:dyDescent="0.2">
      <c r="A54" t="s">
        <v>1002</v>
      </c>
      <c r="B54">
        <v>47</v>
      </c>
    </row>
    <row r="56" spans="1:3" ht="15.75" x14ac:dyDescent="0.25">
      <c r="A56" s="667" t="s">
        <v>1849</v>
      </c>
    </row>
    <row r="57" spans="1:3" x14ac:dyDescent="0.2">
      <c r="A57" s="713" t="s">
        <v>1622</v>
      </c>
      <c r="B57" s="713" t="s">
        <v>1624</v>
      </c>
      <c r="C57" s="713" t="s">
        <v>2045</v>
      </c>
    </row>
    <row r="58" spans="1:3" x14ac:dyDescent="0.2">
      <c r="A58">
        <v>1</v>
      </c>
      <c r="B58" t="s">
        <v>2362</v>
      </c>
      <c r="C58" t="s">
        <v>2363</v>
      </c>
    </row>
    <row r="59" spans="1:3" x14ac:dyDescent="0.2">
      <c r="A59">
        <v>2</v>
      </c>
      <c r="B59" t="s">
        <v>2364</v>
      </c>
      <c r="C59" t="s">
        <v>2365</v>
      </c>
    </row>
    <row r="60" spans="1:3" x14ac:dyDescent="0.2">
      <c r="A60">
        <v>3</v>
      </c>
      <c r="B60" t="s">
        <v>2366</v>
      </c>
      <c r="C60" t="s">
        <v>2367</v>
      </c>
    </row>
    <row r="61" spans="1:3" x14ac:dyDescent="0.2">
      <c r="A61">
        <v>4</v>
      </c>
      <c r="B61" t="s">
        <v>2368</v>
      </c>
      <c r="C61" t="s">
        <v>2369</v>
      </c>
    </row>
    <row r="62" spans="1:3" x14ac:dyDescent="0.2">
      <c r="A62">
        <v>5</v>
      </c>
      <c r="B62" t="s">
        <v>2370</v>
      </c>
      <c r="C62" t="s">
        <v>2371</v>
      </c>
    </row>
    <row r="63" spans="1:3" x14ac:dyDescent="0.2">
      <c r="A63">
        <v>6</v>
      </c>
      <c r="B63" t="s">
        <v>2372</v>
      </c>
      <c r="C63" t="s">
        <v>2373</v>
      </c>
    </row>
    <row r="64" spans="1:3" x14ac:dyDescent="0.2">
      <c r="A64">
        <v>7</v>
      </c>
      <c r="B64" t="s">
        <v>2374</v>
      </c>
      <c r="C64" t="s">
        <v>2375</v>
      </c>
    </row>
    <row r="65" spans="1:3" x14ac:dyDescent="0.2">
      <c r="A65">
        <v>8</v>
      </c>
      <c r="B65" t="s">
        <v>2376</v>
      </c>
      <c r="C65" t="s">
        <v>2377</v>
      </c>
    </row>
    <row r="66" spans="1:3" x14ac:dyDescent="0.2">
      <c r="A66">
        <v>9</v>
      </c>
      <c r="B66" t="s">
        <v>2378</v>
      </c>
      <c r="C66" t="s">
        <v>2379</v>
      </c>
    </row>
    <row r="67" spans="1:3" x14ac:dyDescent="0.2">
      <c r="A67">
        <v>10</v>
      </c>
      <c r="B67" t="s">
        <v>2380</v>
      </c>
      <c r="C67" t="s">
        <v>2381</v>
      </c>
    </row>
    <row r="68" spans="1:3" x14ac:dyDescent="0.2">
      <c r="A68">
        <v>11</v>
      </c>
      <c r="B68" t="s">
        <v>2382</v>
      </c>
      <c r="C68" t="s">
        <v>2383</v>
      </c>
    </row>
    <row r="69" spans="1:3" x14ac:dyDescent="0.2">
      <c r="A69">
        <v>12</v>
      </c>
      <c r="B69" t="s">
        <v>2384</v>
      </c>
      <c r="C69" t="s">
        <v>2385</v>
      </c>
    </row>
    <row r="70" spans="1:3" x14ac:dyDescent="0.2">
      <c r="A70">
        <v>13</v>
      </c>
      <c r="B70" t="s">
        <v>2386</v>
      </c>
      <c r="C70" t="s">
        <v>2387</v>
      </c>
    </row>
    <row r="71" spans="1:3" x14ac:dyDescent="0.2">
      <c r="A71">
        <v>14</v>
      </c>
      <c r="B71" t="s">
        <v>2388</v>
      </c>
      <c r="C71" t="s">
        <v>2389</v>
      </c>
    </row>
    <row r="72" spans="1:3" x14ac:dyDescent="0.2">
      <c r="A72">
        <v>15</v>
      </c>
      <c r="B72" t="s">
        <v>2390</v>
      </c>
      <c r="C72" t="s">
        <v>2391</v>
      </c>
    </row>
    <row r="73" spans="1:3" x14ac:dyDescent="0.2">
      <c r="A73">
        <v>16</v>
      </c>
      <c r="B73" t="s">
        <v>2392</v>
      </c>
      <c r="C73" t="s">
        <v>2393</v>
      </c>
    </row>
    <row r="74" spans="1:3" x14ac:dyDescent="0.2">
      <c r="A74">
        <v>17</v>
      </c>
      <c r="B74" t="s">
        <v>2394</v>
      </c>
      <c r="C74" t="s">
        <v>2395</v>
      </c>
    </row>
    <row r="75" spans="1:3" x14ac:dyDescent="0.2">
      <c r="A75">
        <v>18</v>
      </c>
      <c r="B75" t="s">
        <v>2396</v>
      </c>
      <c r="C75" t="s">
        <v>2397</v>
      </c>
    </row>
    <row r="76" spans="1:3" x14ac:dyDescent="0.2">
      <c r="A76">
        <v>19</v>
      </c>
      <c r="B76" t="s">
        <v>2398</v>
      </c>
      <c r="C76" t="s">
        <v>2399</v>
      </c>
    </row>
    <row r="79" spans="1:3" ht="18" x14ac:dyDescent="0.25">
      <c r="A79" s="833" t="s">
        <v>6839</v>
      </c>
    </row>
    <row r="80" spans="1:3" x14ac:dyDescent="0.2">
      <c r="A80" s="734" t="s">
        <v>6840</v>
      </c>
    </row>
    <row r="82" spans="1:1" x14ac:dyDescent="0.2">
      <c r="A82" s="609" t="s">
        <v>6355</v>
      </c>
    </row>
    <row r="83" spans="1:1" x14ac:dyDescent="0.2">
      <c r="A83" t="s">
        <v>6841</v>
      </c>
    </row>
    <row r="84" spans="1:1" x14ac:dyDescent="0.2">
      <c r="A84" s="759" t="s">
        <v>6842</v>
      </c>
    </row>
    <row r="85" spans="1:1" x14ac:dyDescent="0.2">
      <c r="A85" t="s">
        <v>6843</v>
      </c>
    </row>
    <row r="87" spans="1:1" x14ac:dyDescent="0.2">
      <c r="A87" s="609" t="s">
        <v>6359</v>
      </c>
    </row>
    <row r="88" spans="1:1" x14ac:dyDescent="0.2">
      <c r="A88" t="s">
        <v>6844</v>
      </c>
    </row>
    <row r="89" spans="1:1" x14ac:dyDescent="0.2">
      <c r="A89" t="s">
        <v>6845</v>
      </c>
    </row>
    <row r="90" spans="1:1" x14ac:dyDescent="0.2">
      <c r="A90" t="s">
        <v>6846</v>
      </c>
    </row>
    <row r="91" spans="1:1" x14ac:dyDescent="0.2">
      <c r="A91" t="s">
        <v>6847</v>
      </c>
    </row>
    <row r="93" spans="1:1" x14ac:dyDescent="0.2">
      <c r="A93" s="609" t="s">
        <v>6654</v>
      </c>
    </row>
    <row r="94" spans="1:1" x14ac:dyDescent="0.2">
      <c r="A94" t="s">
        <v>6848</v>
      </c>
    </row>
    <row r="95" spans="1:1" x14ac:dyDescent="0.2">
      <c r="A95" t="s">
        <v>6849</v>
      </c>
    </row>
    <row r="97" spans="1:1" x14ac:dyDescent="0.2">
      <c r="A97" s="609" t="s">
        <v>6658</v>
      </c>
    </row>
    <row r="98" spans="1:1" x14ac:dyDescent="0.2">
      <c r="A98" t="s">
        <v>6850</v>
      </c>
    </row>
    <row r="99" spans="1:1" x14ac:dyDescent="0.2">
      <c r="A99" t="s">
        <v>6851</v>
      </c>
    </row>
    <row r="101" spans="1:1" x14ac:dyDescent="0.2">
      <c r="A101" s="609" t="s">
        <v>6661</v>
      </c>
    </row>
    <row r="102" spans="1:1" x14ac:dyDescent="0.2">
      <c r="A102" t="s">
        <v>6852</v>
      </c>
    </row>
    <row r="103" spans="1:1" x14ac:dyDescent="0.2">
      <c r="A103" t="s">
        <v>6853</v>
      </c>
    </row>
    <row r="104" spans="1:1" x14ac:dyDescent="0.2">
      <c r="A104" t="s">
        <v>6854</v>
      </c>
    </row>
    <row r="106" spans="1:1" x14ac:dyDescent="0.2">
      <c r="A106" s="609" t="s">
        <v>6682</v>
      </c>
    </row>
    <row r="107" spans="1:1" x14ac:dyDescent="0.2">
      <c r="A107" t="s">
        <v>6855</v>
      </c>
    </row>
    <row r="111" spans="1:1" ht="18" x14ac:dyDescent="0.25">
      <c r="A111" s="838" t="s">
        <v>7331</v>
      </c>
    </row>
    <row r="112" spans="1:1" x14ac:dyDescent="0.2">
      <c r="A112" s="734" t="s">
        <v>7246</v>
      </c>
    </row>
    <row r="114" spans="1:1" x14ac:dyDescent="0.2">
      <c r="A114" s="839" t="s">
        <v>7332</v>
      </c>
    </row>
    <row r="115" spans="1:1" x14ac:dyDescent="0.2">
      <c r="A115" s="842" t="s">
        <v>7333</v>
      </c>
    </row>
    <row r="116" spans="1:1" x14ac:dyDescent="0.2">
      <c r="A116" t="s">
        <v>7334</v>
      </c>
    </row>
    <row r="118" spans="1:1" x14ac:dyDescent="0.2">
      <c r="A118" s="839" t="s">
        <v>7335</v>
      </c>
    </row>
    <row r="119" spans="1:1" x14ac:dyDescent="0.2">
      <c r="A119" s="842" t="s">
        <v>7324</v>
      </c>
    </row>
    <row r="120" spans="1:1" x14ac:dyDescent="0.2">
      <c r="A120" t="s">
        <v>7336</v>
      </c>
    </row>
    <row r="122" spans="1:1" x14ac:dyDescent="0.2">
      <c r="A122" s="839" t="s">
        <v>7321</v>
      </c>
    </row>
    <row r="123" spans="1:1" x14ac:dyDescent="0.2">
      <c r="A123" t="s">
        <v>7337</v>
      </c>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T148"/>
  <sheetViews>
    <sheetView workbookViewId="0">
      <pane xSplit="3" ySplit="2" topLeftCell="D3" activePane="bottomRight" state="frozen"/>
      <selection pane="topRight" activeCell="D1" sqref="D1"/>
      <selection pane="bottomLeft" activeCell="A3" sqref="A3"/>
      <selection pane="bottomRight" activeCell="D1" sqref="D1:S1048576"/>
    </sheetView>
  </sheetViews>
  <sheetFormatPr defaultColWidth="12.5703125" defaultRowHeight="15" customHeight="1" x14ac:dyDescent="0.2"/>
  <cols>
    <col min="1" max="1" width="137.140625" customWidth="1"/>
    <col min="2" max="2" width="7.140625" customWidth="1"/>
    <col min="3" max="3" width="37.42578125" customWidth="1"/>
    <col min="4" max="19" width="7.7109375" customWidth="1"/>
    <col min="20" max="20" width="161.5703125" customWidth="1"/>
  </cols>
  <sheetData>
    <row r="1" spans="1:20" ht="15" customHeight="1" x14ac:dyDescent="0.2">
      <c r="A1" s="1" t="s">
        <v>0</v>
      </c>
      <c r="B1" s="2" t="s">
        <v>0</v>
      </c>
      <c r="C1" s="3" t="s">
        <v>1</v>
      </c>
      <c r="D1" s="4">
        <v>39</v>
      </c>
      <c r="E1" s="4">
        <v>40</v>
      </c>
      <c r="F1" s="5">
        <v>41</v>
      </c>
      <c r="G1" s="5">
        <v>42</v>
      </c>
      <c r="H1" s="6">
        <v>43</v>
      </c>
      <c r="I1" s="6">
        <v>44</v>
      </c>
      <c r="J1" s="7">
        <v>45</v>
      </c>
      <c r="K1" s="7">
        <v>46</v>
      </c>
      <c r="L1" s="8">
        <v>47</v>
      </c>
      <c r="M1" s="8">
        <v>48</v>
      </c>
      <c r="N1" s="9">
        <v>49</v>
      </c>
      <c r="O1" s="9">
        <v>50</v>
      </c>
      <c r="P1" s="10">
        <v>51</v>
      </c>
      <c r="Q1" s="10">
        <v>52</v>
      </c>
      <c r="R1" s="11">
        <v>53</v>
      </c>
      <c r="S1" s="12">
        <v>54</v>
      </c>
      <c r="T1" s="13" t="s">
        <v>2</v>
      </c>
    </row>
    <row r="2" spans="1:20" ht="15" customHeight="1" x14ac:dyDescent="0.2">
      <c r="A2" s="1"/>
      <c r="B2" s="14" t="s">
        <v>3</v>
      </c>
      <c r="C2" s="15" t="s">
        <v>4</v>
      </c>
      <c r="D2" s="16" t="s">
        <v>5</v>
      </c>
      <c r="E2" s="16" t="s">
        <v>6</v>
      </c>
      <c r="F2" s="17" t="s">
        <v>7</v>
      </c>
      <c r="G2" s="17" t="s">
        <v>8</v>
      </c>
      <c r="H2" s="17" t="s">
        <v>9</v>
      </c>
      <c r="I2" s="17" t="s">
        <v>10</v>
      </c>
      <c r="J2" s="17" t="s">
        <v>11</v>
      </c>
      <c r="K2" s="17" t="s">
        <v>12</v>
      </c>
      <c r="L2" s="17" t="s">
        <v>13</v>
      </c>
      <c r="M2" s="17" t="s">
        <v>14</v>
      </c>
      <c r="N2" s="17" t="s">
        <v>15</v>
      </c>
      <c r="O2" s="17" t="s">
        <v>16</v>
      </c>
      <c r="P2" s="17" t="s">
        <v>17</v>
      </c>
      <c r="Q2" s="17" t="s">
        <v>18</v>
      </c>
      <c r="R2" s="17" t="s">
        <v>19</v>
      </c>
      <c r="S2" s="18" t="s">
        <v>20</v>
      </c>
    </row>
    <row r="3" spans="1:20" ht="15" customHeight="1" x14ac:dyDescent="0.2">
      <c r="A3" s="803" t="s">
        <v>21</v>
      </c>
      <c r="B3" s="19"/>
      <c r="C3" s="20" t="s">
        <v>22</v>
      </c>
      <c r="D3" s="21">
        <f t="shared" ref="D3:S3" si="0">((2^(1/12))^(D1-49))*440</f>
        <v>246.94165062806201</v>
      </c>
      <c r="E3" s="21">
        <f t="shared" si="0"/>
        <v>261.62556530059862</v>
      </c>
      <c r="F3" s="21">
        <f t="shared" si="0"/>
        <v>277.18263097687208</v>
      </c>
      <c r="G3" s="21">
        <f t="shared" si="0"/>
        <v>293.66476791740752</v>
      </c>
      <c r="H3" s="21">
        <f t="shared" si="0"/>
        <v>311.12698372208087</v>
      </c>
      <c r="I3" s="21">
        <f t="shared" si="0"/>
        <v>329.62755691286992</v>
      </c>
      <c r="J3" s="21">
        <f t="shared" si="0"/>
        <v>349.22823143300388</v>
      </c>
      <c r="K3" s="21">
        <f t="shared" si="0"/>
        <v>369.99442271163434</v>
      </c>
      <c r="L3" s="21">
        <f t="shared" si="0"/>
        <v>391.99543598174927</v>
      </c>
      <c r="M3" s="21">
        <f t="shared" si="0"/>
        <v>415.30469757994513</v>
      </c>
      <c r="N3" s="21">
        <f t="shared" si="0"/>
        <v>440</v>
      </c>
      <c r="O3" s="21">
        <f t="shared" si="0"/>
        <v>466.16376151808993</v>
      </c>
      <c r="P3" s="21">
        <f t="shared" si="0"/>
        <v>493.88330125612413</v>
      </c>
      <c r="Q3" s="21">
        <f t="shared" si="0"/>
        <v>523.25113060119736</v>
      </c>
      <c r="R3" s="21">
        <f t="shared" si="0"/>
        <v>554.36526195374415</v>
      </c>
      <c r="S3" s="22">
        <f t="shared" si="0"/>
        <v>587.32953583481515</v>
      </c>
      <c r="T3" s="23"/>
    </row>
    <row r="4" spans="1:20" ht="15" customHeight="1" x14ac:dyDescent="0.2">
      <c r="A4" s="804"/>
      <c r="B4" s="19"/>
      <c r="C4" s="24" t="s">
        <v>23</v>
      </c>
      <c r="D4" s="25" t="s">
        <v>24</v>
      </c>
      <c r="E4" s="25" t="s">
        <v>9</v>
      </c>
      <c r="F4" s="25" t="s">
        <v>25</v>
      </c>
      <c r="G4" s="25" t="s">
        <v>11</v>
      </c>
      <c r="H4" s="25" t="s">
        <v>26</v>
      </c>
      <c r="I4" s="25" t="s">
        <v>27</v>
      </c>
      <c r="J4" s="25" t="s">
        <v>28</v>
      </c>
      <c r="K4" s="25" t="s">
        <v>29</v>
      </c>
      <c r="L4" s="25" t="s">
        <v>30</v>
      </c>
      <c r="M4" s="25" t="s">
        <v>31</v>
      </c>
      <c r="N4" s="25" t="s">
        <v>32</v>
      </c>
      <c r="O4" s="25" t="s">
        <v>33</v>
      </c>
      <c r="P4" s="25" t="s">
        <v>34</v>
      </c>
      <c r="Q4" s="25" t="s">
        <v>35</v>
      </c>
      <c r="R4" s="25" t="s">
        <v>36</v>
      </c>
      <c r="S4" s="26" t="s">
        <v>37</v>
      </c>
      <c r="T4" s="23"/>
    </row>
    <row r="5" spans="1:20" ht="15" customHeight="1" x14ac:dyDescent="0.2">
      <c r="A5" s="804"/>
      <c r="B5" s="19"/>
      <c r="C5" s="27" t="s">
        <v>38</v>
      </c>
      <c r="D5" s="28">
        <f t="shared" ref="D5:S5" si="1">((2^(1/12))^(D1+3-49))*440</f>
        <v>293.66476791740752</v>
      </c>
      <c r="E5" s="28">
        <f t="shared" si="1"/>
        <v>311.12698372208087</v>
      </c>
      <c r="F5" s="28">
        <f t="shared" si="1"/>
        <v>329.62755691286992</v>
      </c>
      <c r="G5" s="28">
        <f t="shared" si="1"/>
        <v>349.22823143300388</v>
      </c>
      <c r="H5" s="28">
        <f t="shared" si="1"/>
        <v>369.99442271163434</v>
      </c>
      <c r="I5" s="28">
        <f t="shared" si="1"/>
        <v>391.99543598174927</v>
      </c>
      <c r="J5" s="28">
        <f t="shared" si="1"/>
        <v>415.30469757994513</v>
      </c>
      <c r="K5" s="28">
        <f t="shared" si="1"/>
        <v>440</v>
      </c>
      <c r="L5" s="28">
        <f t="shared" si="1"/>
        <v>466.16376151808993</v>
      </c>
      <c r="M5" s="28">
        <f t="shared" si="1"/>
        <v>493.88330125612413</v>
      </c>
      <c r="N5" s="28">
        <f t="shared" si="1"/>
        <v>523.25113060119736</v>
      </c>
      <c r="O5" s="28">
        <f t="shared" si="1"/>
        <v>554.36526195374415</v>
      </c>
      <c r="P5" s="28">
        <f t="shared" si="1"/>
        <v>587.32953583481515</v>
      </c>
      <c r="Q5" s="28">
        <f t="shared" si="1"/>
        <v>622.25396744416184</v>
      </c>
      <c r="R5" s="28">
        <f t="shared" si="1"/>
        <v>659.25511382573995</v>
      </c>
      <c r="S5" s="29">
        <f t="shared" si="1"/>
        <v>698.45646286600777</v>
      </c>
      <c r="T5" s="23"/>
    </row>
    <row r="6" spans="1:20" ht="15" customHeight="1" x14ac:dyDescent="0.2">
      <c r="A6" s="804"/>
      <c r="B6" s="19"/>
      <c r="C6" s="30" t="s">
        <v>39</v>
      </c>
      <c r="D6" s="31" t="s">
        <v>25</v>
      </c>
      <c r="E6" s="31" t="s">
        <v>11</v>
      </c>
      <c r="F6" s="31" t="s">
        <v>26</v>
      </c>
      <c r="G6" s="31" t="s">
        <v>27</v>
      </c>
      <c r="H6" s="31" t="s">
        <v>28</v>
      </c>
      <c r="I6" s="31" t="s">
        <v>29</v>
      </c>
      <c r="J6" s="31" t="s">
        <v>30</v>
      </c>
      <c r="K6" s="31" t="s">
        <v>31</v>
      </c>
      <c r="L6" s="31" t="s">
        <v>32</v>
      </c>
      <c r="M6" s="31" t="s">
        <v>33</v>
      </c>
      <c r="N6" s="31" t="s">
        <v>34</v>
      </c>
      <c r="O6" s="31" t="s">
        <v>40</v>
      </c>
      <c r="P6" s="31" t="s">
        <v>36</v>
      </c>
      <c r="Q6" s="31" t="s">
        <v>37</v>
      </c>
      <c r="R6" s="31" t="s">
        <v>41</v>
      </c>
      <c r="S6" s="32" t="s">
        <v>42</v>
      </c>
      <c r="T6" s="23"/>
    </row>
    <row r="7" spans="1:20" ht="15" customHeight="1" x14ac:dyDescent="0.2">
      <c r="A7" s="804"/>
      <c r="B7" s="19"/>
      <c r="C7" s="33" t="s">
        <v>43</v>
      </c>
      <c r="D7" s="34">
        <f t="shared" ref="D7:S7" si="2">((2^(1/12))^(D1+5-49))*440</f>
        <v>329.62755691286992</v>
      </c>
      <c r="E7" s="34">
        <f t="shared" si="2"/>
        <v>349.22823143300388</v>
      </c>
      <c r="F7" s="34">
        <f t="shared" si="2"/>
        <v>369.99442271163434</v>
      </c>
      <c r="G7" s="34">
        <f t="shared" si="2"/>
        <v>391.99543598174927</v>
      </c>
      <c r="H7" s="34">
        <f t="shared" si="2"/>
        <v>415.30469757994513</v>
      </c>
      <c r="I7" s="34">
        <f t="shared" si="2"/>
        <v>440</v>
      </c>
      <c r="J7" s="34">
        <f t="shared" si="2"/>
        <v>466.16376151808993</v>
      </c>
      <c r="K7" s="34">
        <f t="shared" si="2"/>
        <v>493.88330125612413</v>
      </c>
      <c r="L7" s="34">
        <f t="shared" si="2"/>
        <v>523.25113060119736</v>
      </c>
      <c r="M7" s="34">
        <f t="shared" si="2"/>
        <v>554.36526195374415</v>
      </c>
      <c r="N7" s="34">
        <f t="shared" si="2"/>
        <v>587.32953583481515</v>
      </c>
      <c r="O7" s="34">
        <f t="shared" si="2"/>
        <v>622.25396744416184</v>
      </c>
      <c r="P7" s="34">
        <f t="shared" si="2"/>
        <v>659.25511382573995</v>
      </c>
      <c r="Q7" s="34">
        <f t="shared" si="2"/>
        <v>698.45646286600777</v>
      </c>
      <c r="R7" s="34">
        <f t="shared" si="2"/>
        <v>739.98884542326891</v>
      </c>
      <c r="S7" s="35">
        <f t="shared" si="2"/>
        <v>783.99087196349865</v>
      </c>
      <c r="T7" s="23"/>
    </row>
    <row r="8" spans="1:20" ht="15" customHeight="1" x14ac:dyDescent="0.2">
      <c r="A8" s="804"/>
      <c r="B8" s="19"/>
      <c r="C8" s="36" t="s">
        <v>44</v>
      </c>
      <c r="D8" s="37" t="s">
        <v>26</v>
      </c>
      <c r="E8" s="37" t="s">
        <v>27</v>
      </c>
      <c r="F8" s="37" t="s">
        <v>28</v>
      </c>
      <c r="G8" s="37" t="s">
        <v>29</v>
      </c>
      <c r="H8" s="37" t="s">
        <v>30</v>
      </c>
      <c r="I8" s="37" t="s">
        <v>31</v>
      </c>
      <c r="J8" s="37" t="s">
        <v>32</v>
      </c>
      <c r="K8" s="37" t="s">
        <v>33</v>
      </c>
      <c r="L8" s="37" t="s">
        <v>34</v>
      </c>
      <c r="M8" s="37" t="s">
        <v>40</v>
      </c>
      <c r="N8" s="37" t="s">
        <v>36</v>
      </c>
      <c r="O8" s="37" t="s">
        <v>37</v>
      </c>
      <c r="P8" s="37" t="s">
        <v>45</v>
      </c>
      <c r="Q8" s="37" t="s">
        <v>42</v>
      </c>
      <c r="R8" s="37" t="s">
        <v>46</v>
      </c>
      <c r="S8" s="38" t="s">
        <v>47</v>
      </c>
      <c r="T8" s="23"/>
    </row>
    <row r="9" spans="1:20" ht="15" customHeight="1" x14ac:dyDescent="0.2">
      <c r="A9" s="804"/>
      <c r="B9" s="19"/>
      <c r="C9" s="39" t="s">
        <v>48</v>
      </c>
      <c r="D9" s="40">
        <f t="shared" ref="D9:S9" si="3">((2^(1/12))^(D1+7-49))*440</f>
        <v>369.99442271163434</v>
      </c>
      <c r="E9" s="40">
        <f t="shared" si="3"/>
        <v>391.99543598174927</v>
      </c>
      <c r="F9" s="40">
        <f t="shared" si="3"/>
        <v>415.30469757994513</v>
      </c>
      <c r="G9" s="40">
        <f t="shared" si="3"/>
        <v>440</v>
      </c>
      <c r="H9" s="40">
        <f t="shared" si="3"/>
        <v>466.16376151808993</v>
      </c>
      <c r="I9" s="40">
        <f t="shared" si="3"/>
        <v>493.88330125612413</v>
      </c>
      <c r="J9" s="40">
        <f t="shared" si="3"/>
        <v>523.25113060119736</v>
      </c>
      <c r="K9" s="40">
        <f t="shared" si="3"/>
        <v>554.36526195374415</v>
      </c>
      <c r="L9" s="40">
        <f t="shared" si="3"/>
        <v>587.32953583481515</v>
      </c>
      <c r="M9" s="40">
        <f t="shared" si="3"/>
        <v>622.25396744416184</v>
      </c>
      <c r="N9" s="40">
        <f t="shared" si="3"/>
        <v>659.25511382573995</v>
      </c>
      <c r="O9" s="40">
        <f t="shared" si="3"/>
        <v>698.45646286600777</v>
      </c>
      <c r="P9" s="40">
        <f t="shared" si="3"/>
        <v>739.98884542326891</v>
      </c>
      <c r="Q9" s="40">
        <f t="shared" si="3"/>
        <v>783.99087196349865</v>
      </c>
      <c r="R9" s="40">
        <f t="shared" si="3"/>
        <v>830.60939515989048</v>
      </c>
      <c r="S9" s="41">
        <f t="shared" si="3"/>
        <v>880</v>
      </c>
      <c r="T9" s="23"/>
    </row>
    <row r="10" spans="1:20" ht="15" customHeight="1" x14ac:dyDescent="0.2">
      <c r="A10" s="804"/>
      <c r="B10" s="19"/>
      <c r="C10" s="42" t="s">
        <v>49</v>
      </c>
      <c r="D10" s="43" t="s">
        <v>27</v>
      </c>
      <c r="E10" s="43" t="s">
        <v>28</v>
      </c>
      <c r="F10" s="43" t="s">
        <v>29</v>
      </c>
      <c r="G10" s="43" t="s">
        <v>30</v>
      </c>
      <c r="H10" s="43" t="s">
        <v>31</v>
      </c>
      <c r="I10" s="43" t="s">
        <v>32</v>
      </c>
      <c r="J10" s="43" t="s">
        <v>33</v>
      </c>
      <c r="K10" s="43" t="s">
        <v>34</v>
      </c>
      <c r="L10" s="43" t="s">
        <v>40</v>
      </c>
      <c r="M10" s="43" t="s">
        <v>36</v>
      </c>
      <c r="N10" s="43" t="s">
        <v>37</v>
      </c>
      <c r="O10" s="43" t="s">
        <v>41</v>
      </c>
      <c r="P10" s="43" t="s">
        <v>42</v>
      </c>
      <c r="Q10" s="43" t="s">
        <v>46</v>
      </c>
      <c r="R10" s="43" t="s">
        <v>47</v>
      </c>
      <c r="S10" s="44" t="s">
        <v>50</v>
      </c>
      <c r="T10" s="23"/>
    </row>
    <row r="11" spans="1:20" ht="15" customHeight="1" x14ac:dyDescent="0.2">
      <c r="A11" s="804"/>
      <c r="B11" s="19"/>
      <c r="C11" s="42" t="s">
        <v>51</v>
      </c>
      <c r="D11" s="45">
        <f t="shared" ref="D11:S11" si="4">((2^(1/12))^(D1+8-49))*440</f>
        <v>391.99543598174927</v>
      </c>
      <c r="E11" s="45">
        <f t="shared" si="4"/>
        <v>415.30469757994513</v>
      </c>
      <c r="F11" s="45">
        <f t="shared" si="4"/>
        <v>440</v>
      </c>
      <c r="G11" s="45">
        <f t="shared" si="4"/>
        <v>466.16376151808993</v>
      </c>
      <c r="H11" s="45">
        <f t="shared" si="4"/>
        <v>493.88330125612413</v>
      </c>
      <c r="I11" s="45">
        <f t="shared" si="4"/>
        <v>523.25113060119736</v>
      </c>
      <c r="J11" s="45">
        <f t="shared" si="4"/>
        <v>554.36526195374415</v>
      </c>
      <c r="K11" s="45">
        <f t="shared" si="4"/>
        <v>587.32953583481515</v>
      </c>
      <c r="L11" s="45">
        <f t="shared" si="4"/>
        <v>622.25396744416184</v>
      </c>
      <c r="M11" s="45">
        <f t="shared" si="4"/>
        <v>659.25511382573995</v>
      </c>
      <c r="N11" s="45">
        <f t="shared" si="4"/>
        <v>698.45646286600777</v>
      </c>
      <c r="O11" s="45">
        <f t="shared" si="4"/>
        <v>739.98884542326891</v>
      </c>
      <c r="P11" s="45">
        <f t="shared" si="4"/>
        <v>783.99087196349865</v>
      </c>
      <c r="Q11" s="45">
        <f t="shared" si="4"/>
        <v>830.60939515989048</v>
      </c>
      <c r="R11" s="45">
        <f t="shared" si="4"/>
        <v>880</v>
      </c>
      <c r="S11" s="46">
        <f t="shared" si="4"/>
        <v>932.32752303617985</v>
      </c>
      <c r="T11" s="23"/>
    </row>
    <row r="12" spans="1:20" ht="15" customHeight="1" x14ac:dyDescent="0.2">
      <c r="A12" s="804"/>
      <c r="B12" s="19"/>
      <c r="C12" s="47" t="s">
        <v>52</v>
      </c>
      <c r="D12" s="48" t="s">
        <v>29</v>
      </c>
      <c r="E12" s="48" t="s">
        <v>16</v>
      </c>
      <c r="F12" s="48" t="s">
        <v>31</v>
      </c>
      <c r="G12" s="48" t="s">
        <v>32</v>
      </c>
      <c r="H12" s="48" t="s">
        <v>33</v>
      </c>
      <c r="I12" s="48" t="s">
        <v>34</v>
      </c>
      <c r="J12" s="48" t="s">
        <v>40</v>
      </c>
      <c r="K12" s="48" t="s">
        <v>36</v>
      </c>
      <c r="L12" s="48" t="s">
        <v>37</v>
      </c>
      <c r="M12" s="48" t="s">
        <v>41</v>
      </c>
      <c r="N12" s="48" t="s">
        <v>42</v>
      </c>
      <c r="O12" s="48" t="s">
        <v>46</v>
      </c>
      <c r="P12" s="48" t="s">
        <v>47</v>
      </c>
      <c r="Q12" s="48" t="s">
        <v>53</v>
      </c>
      <c r="R12" s="48" t="s">
        <v>54</v>
      </c>
      <c r="S12" s="49" t="s">
        <v>55</v>
      </c>
      <c r="T12" s="23"/>
    </row>
    <row r="13" spans="1:20" ht="15" customHeight="1" x14ac:dyDescent="0.2">
      <c r="A13" s="804"/>
      <c r="B13" s="19"/>
      <c r="C13" s="50" t="s">
        <v>56</v>
      </c>
      <c r="D13" s="51">
        <f t="shared" ref="D13:S13" si="5">((2^(1/12))^(D1+10-49))*440</f>
        <v>440</v>
      </c>
      <c r="E13" s="51">
        <f t="shared" si="5"/>
        <v>466.16376151808993</v>
      </c>
      <c r="F13" s="51">
        <f t="shared" si="5"/>
        <v>493.88330125612413</v>
      </c>
      <c r="G13" s="51">
        <f t="shared" si="5"/>
        <v>523.25113060119736</v>
      </c>
      <c r="H13" s="51">
        <f t="shared" si="5"/>
        <v>554.36526195374415</v>
      </c>
      <c r="I13" s="51">
        <f t="shared" si="5"/>
        <v>587.32953583481515</v>
      </c>
      <c r="J13" s="51">
        <f t="shared" si="5"/>
        <v>622.25396744416184</v>
      </c>
      <c r="K13" s="51">
        <f t="shared" si="5"/>
        <v>659.25511382573995</v>
      </c>
      <c r="L13" s="51">
        <f t="shared" si="5"/>
        <v>698.45646286600777</v>
      </c>
      <c r="M13" s="51">
        <f t="shared" si="5"/>
        <v>739.98884542326891</v>
      </c>
      <c r="N13" s="51">
        <f t="shared" si="5"/>
        <v>783.99087196349865</v>
      </c>
      <c r="O13" s="51">
        <f t="shared" si="5"/>
        <v>830.60939515989048</v>
      </c>
      <c r="P13" s="51">
        <f t="shared" si="5"/>
        <v>880</v>
      </c>
      <c r="Q13" s="51">
        <f t="shared" si="5"/>
        <v>932.32752303617985</v>
      </c>
      <c r="R13" s="51">
        <f t="shared" si="5"/>
        <v>987.76660251224848</v>
      </c>
      <c r="S13" s="52">
        <f t="shared" si="5"/>
        <v>1046.5022612023947</v>
      </c>
      <c r="T13" s="23"/>
    </row>
    <row r="14" spans="1:20" ht="15" customHeight="1" x14ac:dyDescent="0.2">
      <c r="A14" s="804"/>
      <c r="B14" s="19"/>
      <c r="C14" s="53" t="s">
        <v>57</v>
      </c>
      <c r="D14" s="54" t="s">
        <v>31</v>
      </c>
      <c r="E14" s="54" t="s">
        <v>32</v>
      </c>
      <c r="F14" s="54" t="s">
        <v>33</v>
      </c>
      <c r="G14" s="54" t="s">
        <v>34</v>
      </c>
      <c r="H14" s="54" t="s">
        <v>40</v>
      </c>
      <c r="I14" s="54" t="s">
        <v>36</v>
      </c>
      <c r="J14" s="54" t="s">
        <v>37</v>
      </c>
      <c r="K14" s="54" t="s">
        <v>41</v>
      </c>
      <c r="L14" s="54" t="s">
        <v>42</v>
      </c>
      <c r="M14" s="54" t="s">
        <v>46</v>
      </c>
      <c r="N14" s="54" t="s">
        <v>47</v>
      </c>
      <c r="O14" s="54" t="s">
        <v>50</v>
      </c>
      <c r="P14" s="54" t="s">
        <v>54</v>
      </c>
      <c r="Q14" s="54" t="s">
        <v>55</v>
      </c>
      <c r="R14" s="54" t="s">
        <v>33</v>
      </c>
      <c r="S14" s="55" t="s">
        <v>58</v>
      </c>
      <c r="T14" s="23"/>
    </row>
    <row r="15" spans="1:20" ht="15" customHeight="1" x14ac:dyDescent="0.2">
      <c r="A15" s="805"/>
      <c r="B15" s="56"/>
      <c r="C15" s="57" t="s">
        <v>59</v>
      </c>
      <c r="D15" s="58">
        <f t="shared" ref="D15:S15" si="6">((2^(1/12))^(D1+12-49))*440</f>
        <v>493.88330125612413</v>
      </c>
      <c r="E15" s="58">
        <f t="shared" si="6"/>
        <v>523.25113060119736</v>
      </c>
      <c r="F15" s="58">
        <f t="shared" si="6"/>
        <v>554.36526195374415</v>
      </c>
      <c r="G15" s="58">
        <f t="shared" si="6"/>
        <v>587.32953583481515</v>
      </c>
      <c r="H15" s="58">
        <f t="shared" si="6"/>
        <v>622.25396744416184</v>
      </c>
      <c r="I15" s="58">
        <f t="shared" si="6"/>
        <v>659.25511382573995</v>
      </c>
      <c r="J15" s="58">
        <f t="shared" si="6"/>
        <v>698.45646286600777</v>
      </c>
      <c r="K15" s="58">
        <f t="shared" si="6"/>
        <v>739.98884542326891</v>
      </c>
      <c r="L15" s="58">
        <f t="shared" si="6"/>
        <v>783.99087196349865</v>
      </c>
      <c r="M15" s="58">
        <f t="shared" si="6"/>
        <v>830.60939515989048</v>
      </c>
      <c r="N15" s="58">
        <f t="shared" si="6"/>
        <v>880</v>
      </c>
      <c r="O15" s="58">
        <f t="shared" si="6"/>
        <v>932.32752303617985</v>
      </c>
      <c r="P15" s="58">
        <f t="shared" si="6"/>
        <v>987.76660251224848</v>
      </c>
      <c r="Q15" s="58">
        <f t="shared" si="6"/>
        <v>1046.5022612023947</v>
      </c>
      <c r="R15" s="58">
        <f t="shared" si="6"/>
        <v>1108.7305239074885</v>
      </c>
      <c r="S15" s="59">
        <f t="shared" si="6"/>
        <v>1174.6590716696305</v>
      </c>
      <c r="T15" s="60"/>
    </row>
    <row r="16" spans="1:20" ht="15" customHeight="1" x14ac:dyDescent="0.2">
      <c r="A16" s="61"/>
      <c r="B16" s="62"/>
      <c r="C16" s="63"/>
      <c r="D16" s="23"/>
      <c r="E16" s="23"/>
      <c r="F16" s="23"/>
      <c r="G16" s="23"/>
      <c r="H16" s="23"/>
      <c r="I16" s="23"/>
      <c r="J16" s="23"/>
      <c r="K16" s="23"/>
      <c r="L16" s="23"/>
      <c r="M16" s="23"/>
      <c r="N16" s="23"/>
      <c r="O16" s="23"/>
      <c r="P16" s="23"/>
      <c r="Q16" s="23"/>
      <c r="R16" s="23"/>
      <c r="S16" s="23"/>
      <c r="T16" s="23"/>
    </row>
    <row r="17" spans="1:20" ht="15" customHeight="1" x14ac:dyDescent="0.2">
      <c r="A17" s="808" t="s">
        <v>60</v>
      </c>
      <c r="B17" s="64" t="s">
        <v>61</v>
      </c>
      <c r="C17" s="65" t="s">
        <v>62</v>
      </c>
      <c r="D17" s="66">
        <v>2.625</v>
      </c>
      <c r="E17" s="66">
        <v>2.625</v>
      </c>
      <c r="F17" s="67">
        <v>2.5</v>
      </c>
      <c r="G17" s="67">
        <v>2.5</v>
      </c>
      <c r="H17" s="68">
        <v>2.375</v>
      </c>
      <c r="I17" s="68">
        <v>2.375</v>
      </c>
      <c r="J17" s="69">
        <v>2.25</v>
      </c>
      <c r="K17" s="69">
        <v>2.25</v>
      </c>
      <c r="L17" s="70">
        <v>2.125</v>
      </c>
      <c r="M17" s="70">
        <v>2.125</v>
      </c>
      <c r="N17" s="71">
        <v>2</v>
      </c>
      <c r="O17" s="71">
        <v>2</v>
      </c>
      <c r="P17" s="72">
        <v>1.875</v>
      </c>
      <c r="Q17" s="72">
        <v>1.75</v>
      </c>
      <c r="R17" s="73">
        <v>1.625</v>
      </c>
      <c r="S17" s="73">
        <v>1.5</v>
      </c>
      <c r="T17" s="74" t="s">
        <v>63</v>
      </c>
    </row>
    <row r="18" spans="1:20" ht="15" customHeight="1" x14ac:dyDescent="0.2">
      <c r="A18" s="804"/>
      <c r="B18" s="64" t="s">
        <v>64</v>
      </c>
      <c r="C18" s="65" t="s">
        <v>65</v>
      </c>
      <c r="D18" s="75" t="s">
        <v>66</v>
      </c>
      <c r="E18" s="75" t="s">
        <v>66</v>
      </c>
      <c r="F18" s="76" t="s">
        <v>66</v>
      </c>
      <c r="G18" s="76" t="s">
        <v>66</v>
      </c>
      <c r="H18" s="77" t="s">
        <v>67</v>
      </c>
      <c r="I18" s="77" t="s">
        <v>67</v>
      </c>
      <c r="J18" s="78" t="s">
        <v>67</v>
      </c>
      <c r="K18" s="78" t="s">
        <v>67</v>
      </c>
      <c r="L18" s="79" t="s">
        <v>67</v>
      </c>
      <c r="M18" s="79" t="s">
        <v>67</v>
      </c>
      <c r="N18" s="80" t="s">
        <v>68</v>
      </c>
      <c r="O18" s="80" t="s">
        <v>68</v>
      </c>
      <c r="P18" s="81" t="s">
        <v>68</v>
      </c>
      <c r="Q18" s="81" t="s">
        <v>68</v>
      </c>
      <c r="R18" s="82" t="s">
        <v>68</v>
      </c>
      <c r="S18" s="82" t="s">
        <v>68</v>
      </c>
      <c r="T18" s="74" t="s">
        <v>69</v>
      </c>
    </row>
    <row r="19" spans="1:20" ht="15" customHeight="1" x14ac:dyDescent="0.2">
      <c r="A19" s="804"/>
      <c r="B19" s="64" t="s">
        <v>70</v>
      </c>
      <c r="C19" s="65" t="s">
        <v>71</v>
      </c>
      <c r="D19" s="66">
        <v>4.375</v>
      </c>
      <c r="E19" s="66">
        <v>4.25</v>
      </c>
      <c r="F19" s="83">
        <v>4.125</v>
      </c>
      <c r="G19" s="67">
        <v>4</v>
      </c>
      <c r="H19" s="68">
        <v>3.75</v>
      </c>
      <c r="I19" s="68">
        <v>3.75</v>
      </c>
      <c r="J19" s="84">
        <v>3.625</v>
      </c>
      <c r="K19" s="69">
        <v>3.5</v>
      </c>
      <c r="L19" s="85">
        <v>3.375</v>
      </c>
      <c r="M19" s="70">
        <v>3.25</v>
      </c>
      <c r="N19" s="86">
        <v>3.125</v>
      </c>
      <c r="O19" s="71">
        <v>3</v>
      </c>
      <c r="P19" s="87">
        <v>2.875</v>
      </c>
      <c r="Q19" s="72">
        <v>2.75</v>
      </c>
      <c r="R19" s="88">
        <v>2.625</v>
      </c>
      <c r="S19" s="73">
        <v>2.5</v>
      </c>
      <c r="T19" s="74" t="s">
        <v>72</v>
      </c>
    </row>
    <row r="20" spans="1:20" ht="15" customHeight="1" x14ac:dyDescent="0.2">
      <c r="A20" s="804"/>
      <c r="B20" s="64" t="s">
        <v>73</v>
      </c>
      <c r="C20" s="65" t="s">
        <v>74</v>
      </c>
      <c r="D20" s="66">
        <v>1</v>
      </c>
      <c r="E20" s="66">
        <v>1</v>
      </c>
      <c r="F20" s="67">
        <v>1</v>
      </c>
      <c r="G20" s="83">
        <v>0.875</v>
      </c>
      <c r="H20" s="89">
        <v>0.875</v>
      </c>
      <c r="I20" s="89">
        <v>0.875</v>
      </c>
      <c r="J20" s="84">
        <v>0.875</v>
      </c>
      <c r="K20" s="84">
        <v>0.75</v>
      </c>
      <c r="L20" s="70">
        <v>0.75</v>
      </c>
      <c r="M20" s="70">
        <v>0.75</v>
      </c>
      <c r="N20" s="71">
        <v>0.75</v>
      </c>
      <c r="O20" s="71">
        <v>0.75</v>
      </c>
      <c r="P20" s="72">
        <v>0.75</v>
      </c>
      <c r="Q20" s="72">
        <v>0.75</v>
      </c>
      <c r="R20" s="73">
        <v>0.75</v>
      </c>
      <c r="S20" s="73">
        <v>0.75</v>
      </c>
      <c r="T20" s="74" t="s">
        <v>75</v>
      </c>
    </row>
    <row r="21" spans="1:20" ht="15" customHeight="1" x14ac:dyDescent="0.2">
      <c r="A21" s="804"/>
      <c r="B21" s="90" t="s">
        <v>76</v>
      </c>
      <c r="C21" s="91" t="s">
        <v>77</v>
      </c>
      <c r="D21" s="66">
        <v>1.5</v>
      </c>
      <c r="E21" s="66">
        <v>1.5</v>
      </c>
      <c r="F21" s="67">
        <v>1.5</v>
      </c>
      <c r="G21" s="67">
        <v>1.5</v>
      </c>
      <c r="H21" s="68">
        <v>1.5</v>
      </c>
      <c r="I21" s="68">
        <v>1.5</v>
      </c>
      <c r="J21" s="69">
        <v>1.5</v>
      </c>
      <c r="K21" s="69">
        <v>1.5</v>
      </c>
      <c r="L21" s="70">
        <v>1.5</v>
      </c>
      <c r="M21" s="70">
        <v>1.5</v>
      </c>
      <c r="N21" s="71">
        <v>1.5</v>
      </c>
      <c r="O21" s="71">
        <v>1.5</v>
      </c>
      <c r="P21" s="72">
        <v>1.5</v>
      </c>
      <c r="Q21" s="72">
        <v>1.5</v>
      </c>
      <c r="R21" s="73">
        <v>1.5</v>
      </c>
      <c r="S21" s="73">
        <v>1.5</v>
      </c>
      <c r="T21" s="74" t="s">
        <v>78</v>
      </c>
    </row>
    <row r="22" spans="1:20" ht="15" customHeight="1" x14ac:dyDescent="0.2">
      <c r="A22" s="804"/>
      <c r="B22" s="90" t="s">
        <v>79</v>
      </c>
      <c r="C22" s="92" t="s">
        <v>80</v>
      </c>
      <c r="D22" s="93">
        <v>1</v>
      </c>
      <c r="E22" s="93">
        <v>1</v>
      </c>
      <c r="F22" s="94">
        <v>0.9375</v>
      </c>
      <c r="G22" s="94">
        <v>0.9375</v>
      </c>
      <c r="H22" s="95">
        <v>0.875</v>
      </c>
      <c r="I22" s="95">
        <v>0.875</v>
      </c>
      <c r="J22" s="96">
        <v>0.8175</v>
      </c>
      <c r="K22" s="96">
        <v>0.8175</v>
      </c>
      <c r="L22" s="97">
        <v>0.75</v>
      </c>
      <c r="M22" s="97">
        <v>0.75</v>
      </c>
      <c r="N22" s="98">
        <v>0.6875</v>
      </c>
      <c r="O22" s="98">
        <v>0.6875</v>
      </c>
      <c r="P22" s="99">
        <v>0.625</v>
      </c>
      <c r="Q22" s="99">
        <v>0.625</v>
      </c>
      <c r="R22" s="100">
        <v>0.5625</v>
      </c>
      <c r="S22" s="100">
        <v>0.5625</v>
      </c>
      <c r="T22" s="74" t="s">
        <v>81</v>
      </c>
    </row>
    <row r="23" spans="1:20" ht="15" customHeight="1" x14ac:dyDescent="0.2">
      <c r="A23" s="804"/>
      <c r="B23" s="101" t="s">
        <v>82</v>
      </c>
      <c r="C23" s="102" t="s">
        <v>83</v>
      </c>
      <c r="D23" s="103">
        <v>0.22500000000000001</v>
      </c>
      <c r="E23" s="103">
        <v>0.22500000000000001</v>
      </c>
      <c r="F23" s="83">
        <v>0.22500000000000001</v>
      </c>
      <c r="G23" s="83">
        <v>0.22500000000000001</v>
      </c>
      <c r="H23" s="89">
        <v>0.22500000000000001</v>
      </c>
      <c r="I23" s="89">
        <v>0.22500000000000001</v>
      </c>
      <c r="J23" s="84">
        <v>0.2</v>
      </c>
      <c r="K23" s="84">
        <v>0.2</v>
      </c>
      <c r="L23" s="85">
        <v>0.2</v>
      </c>
      <c r="M23" s="85">
        <v>0.2</v>
      </c>
      <c r="N23" s="86">
        <v>0.1875</v>
      </c>
      <c r="O23" s="86">
        <v>0.1875</v>
      </c>
      <c r="P23" s="87">
        <v>0.1875</v>
      </c>
      <c r="Q23" s="87">
        <v>0.1875</v>
      </c>
      <c r="R23" s="88">
        <f t="shared" ref="R23:S23" si="7">R22/3</f>
        <v>0.1875</v>
      </c>
      <c r="S23" s="88">
        <f t="shared" si="7"/>
        <v>0.1875</v>
      </c>
      <c r="T23" s="74" t="s">
        <v>84</v>
      </c>
    </row>
    <row r="24" spans="1:20" ht="15" customHeight="1" x14ac:dyDescent="0.2">
      <c r="A24" s="804"/>
      <c r="B24" s="104" t="s">
        <v>85</v>
      </c>
      <c r="C24" s="105" t="s">
        <v>86</v>
      </c>
      <c r="D24" s="103">
        <v>3.5000000000000003E-2</v>
      </c>
      <c r="E24" s="103">
        <v>3.5000000000000003E-2</v>
      </c>
      <c r="F24" s="83">
        <v>3.5000000000000003E-2</v>
      </c>
      <c r="G24" s="83">
        <v>3.5000000000000003E-2</v>
      </c>
      <c r="H24" s="89">
        <v>3.5000000000000003E-2</v>
      </c>
      <c r="I24" s="89">
        <v>3.5000000000000003E-2</v>
      </c>
      <c r="J24" s="84">
        <v>3.5000000000000003E-2</v>
      </c>
      <c r="K24" s="84">
        <v>3.5000000000000003E-2</v>
      </c>
      <c r="L24" s="85">
        <v>3.5000000000000003E-2</v>
      </c>
      <c r="M24" s="85">
        <v>3.5000000000000003E-2</v>
      </c>
      <c r="N24" s="86">
        <v>3.5000000000000003E-2</v>
      </c>
      <c r="O24" s="86">
        <v>3.5000000000000003E-2</v>
      </c>
      <c r="P24" s="87">
        <v>3.5000000000000003E-2</v>
      </c>
      <c r="Q24" s="87">
        <v>3.5000000000000003E-2</v>
      </c>
      <c r="R24" s="88">
        <v>3.5000000000000003E-2</v>
      </c>
      <c r="S24" s="88">
        <v>3.5000000000000003E-2</v>
      </c>
      <c r="T24" s="74" t="s">
        <v>87</v>
      </c>
    </row>
    <row r="25" spans="1:20" ht="15" customHeight="1" x14ac:dyDescent="0.2">
      <c r="A25" s="804"/>
      <c r="B25" s="90" t="s">
        <v>88</v>
      </c>
      <c r="C25" s="105" t="s">
        <v>89</v>
      </c>
      <c r="D25" s="103">
        <v>0.5</v>
      </c>
      <c r="E25" s="103">
        <f t="shared" ref="E25:S25" si="8">E22/2</f>
        <v>0.5</v>
      </c>
      <c r="F25" s="83">
        <f t="shared" si="8"/>
        <v>0.46875</v>
      </c>
      <c r="G25" s="83">
        <f t="shared" si="8"/>
        <v>0.46875</v>
      </c>
      <c r="H25" s="89">
        <f t="shared" si="8"/>
        <v>0.4375</v>
      </c>
      <c r="I25" s="89">
        <f t="shared" si="8"/>
        <v>0.4375</v>
      </c>
      <c r="J25" s="84">
        <f t="shared" si="8"/>
        <v>0.40875</v>
      </c>
      <c r="K25" s="84">
        <f t="shared" si="8"/>
        <v>0.40875</v>
      </c>
      <c r="L25" s="85">
        <f t="shared" si="8"/>
        <v>0.375</v>
      </c>
      <c r="M25" s="85">
        <f t="shared" si="8"/>
        <v>0.375</v>
      </c>
      <c r="N25" s="86">
        <f t="shared" si="8"/>
        <v>0.34375</v>
      </c>
      <c r="O25" s="86">
        <f t="shared" si="8"/>
        <v>0.34375</v>
      </c>
      <c r="P25" s="87">
        <f t="shared" si="8"/>
        <v>0.3125</v>
      </c>
      <c r="Q25" s="87">
        <f t="shared" si="8"/>
        <v>0.3125</v>
      </c>
      <c r="R25" s="88">
        <f t="shared" si="8"/>
        <v>0.28125</v>
      </c>
      <c r="S25" s="88">
        <f t="shared" si="8"/>
        <v>0.28125</v>
      </c>
      <c r="T25" s="106" t="s">
        <v>90</v>
      </c>
    </row>
    <row r="26" spans="1:20" ht="15" customHeight="1" x14ac:dyDescent="0.2">
      <c r="A26" s="804"/>
      <c r="B26" s="90" t="s">
        <v>91</v>
      </c>
      <c r="C26" s="102" t="s">
        <v>92</v>
      </c>
      <c r="D26" s="107">
        <v>0.25</v>
      </c>
      <c r="E26" s="107">
        <v>0.25</v>
      </c>
      <c r="F26" s="108">
        <v>0.25</v>
      </c>
      <c r="G26" s="108">
        <v>0.25</v>
      </c>
      <c r="H26" s="109">
        <v>0.25</v>
      </c>
      <c r="I26" s="109">
        <v>0.25</v>
      </c>
      <c r="J26" s="110">
        <v>0.25</v>
      </c>
      <c r="K26" s="110">
        <v>0.25</v>
      </c>
      <c r="L26" s="111">
        <v>0.22500000000000001</v>
      </c>
      <c r="M26" s="111">
        <v>0.22500000000000001</v>
      </c>
      <c r="N26" s="112">
        <v>0.22500000000000001</v>
      </c>
      <c r="O26" s="112">
        <v>0.22500000000000001</v>
      </c>
      <c r="P26" s="113">
        <v>0.22500000000000001</v>
      </c>
      <c r="Q26" s="113">
        <v>0.22500000000000001</v>
      </c>
      <c r="R26" s="114">
        <v>0.22500000000000001</v>
      </c>
      <c r="S26" s="114">
        <v>0.22500000000000001</v>
      </c>
      <c r="T26" s="74" t="s">
        <v>93</v>
      </c>
    </row>
    <row r="27" spans="1:20" ht="15" customHeight="1" x14ac:dyDescent="0.2">
      <c r="A27" s="804"/>
      <c r="B27" s="90"/>
      <c r="C27" s="102" t="s">
        <v>94</v>
      </c>
      <c r="D27" s="103">
        <v>0.3</v>
      </c>
      <c r="E27" s="103">
        <v>0.3</v>
      </c>
      <c r="F27" s="83">
        <v>0.36249999999999999</v>
      </c>
      <c r="G27" s="83">
        <v>0.36249999999999999</v>
      </c>
      <c r="H27" s="89">
        <v>0.17499999999999999</v>
      </c>
      <c r="I27" s="89">
        <v>0.17499999999999999</v>
      </c>
      <c r="J27" s="84">
        <v>0.28199999999999997</v>
      </c>
      <c r="K27" s="84">
        <v>0.28199999999999997</v>
      </c>
      <c r="L27" s="85">
        <v>0.35</v>
      </c>
      <c r="M27" s="85">
        <v>0.35</v>
      </c>
      <c r="N27" s="86">
        <v>0.1875</v>
      </c>
      <c r="O27" s="86">
        <v>0.1875</v>
      </c>
      <c r="P27" s="87">
        <v>0.25</v>
      </c>
      <c r="Q27" s="87">
        <v>0.25</v>
      </c>
      <c r="R27" s="88">
        <v>0.313</v>
      </c>
      <c r="S27" s="88">
        <v>0.313</v>
      </c>
      <c r="T27" s="74" t="s">
        <v>95</v>
      </c>
    </row>
    <row r="28" spans="1:20" ht="15" customHeight="1" x14ac:dyDescent="0.2">
      <c r="A28" s="804"/>
      <c r="B28" s="90" t="s">
        <v>96</v>
      </c>
      <c r="C28" s="115" t="s">
        <v>97</v>
      </c>
      <c r="D28" s="116">
        <v>0.42499999999999999</v>
      </c>
      <c r="E28" s="116">
        <v>0.42499999999999999</v>
      </c>
      <c r="F28" s="117">
        <v>0.4</v>
      </c>
      <c r="G28" s="117">
        <v>0.4</v>
      </c>
      <c r="H28" s="118">
        <v>0.375</v>
      </c>
      <c r="I28" s="118">
        <v>0.375</v>
      </c>
      <c r="J28" s="119">
        <v>0.35</v>
      </c>
      <c r="K28" s="119">
        <v>0.35</v>
      </c>
      <c r="L28" s="120">
        <v>0.32500000000000001</v>
      </c>
      <c r="M28" s="120">
        <v>0.32500000000000001</v>
      </c>
      <c r="N28" s="121">
        <v>0.3</v>
      </c>
      <c r="O28" s="121">
        <v>0.3</v>
      </c>
      <c r="P28" s="122">
        <v>0.27500000000000002</v>
      </c>
      <c r="Q28" s="122">
        <v>0.27500000000000002</v>
      </c>
      <c r="R28" s="123">
        <v>0.25</v>
      </c>
      <c r="S28" s="123">
        <v>0.25</v>
      </c>
      <c r="T28" s="809" t="s">
        <v>98</v>
      </c>
    </row>
    <row r="29" spans="1:20" ht="15" customHeight="1" x14ac:dyDescent="0.2">
      <c r="A29" s="804"/>
      <c r="B29" s="90" t="s">
        <v>99</v>
      </c>
      <c r="C29" s="124" t="s">
        <v>100</v>
      </c>
      <c r="D29" s="116">
        <v>0.42499999999999999</v>
      </c>
      <c r="E29" s="116">
        <v>0.42499999999999999</v>
      </c>
      <c r="F29" s="117">
        <v>0.4</v>
      </c>
      <c r="G29" s="117">
        <v>0.4</v>
      </c>
      <c r="H29" s="118">
        <v>0.375</v>
      </c>
      <c r="I29" s="118">
        <v>0.375</v>
      </c>
      <c r="J29" s="119">
        <v>0.35</v>
      </c>
      <c r="K29" s="119">
        <v>0.35</v>
      </c>
      <c r="L29" s="120">
        <v>0.32500000000000001</v>
      </c>
      <c r="M29" s="120">
        <v>0.32500000000000001</v>
      </c>
      <c r="N29" s="121">
        <v>0.3</v>
      </c>
      <c r="O29" s="121">
        <v>0.3</v>
      </c>
      <c r="P29" s="122">
        <v>0.27500000000000002</v>
      </c>
      <c r="Q29" s="122">
        <v>0.27500000000000002</v>
      </c>
      <c r="R29" s="123">
        <v>0.25</v>
      </c>
      <c r="S29" s="123">
        <v>0.25</v>
      </c>
      <c r="T29" s="807"/>
    </row>
    <row r="30" spans="1:20" ht="15" customHeight="1" x14ac:dyDescent="0.2">
      <c r="A30" s="804"/>
      <c r="B30" s="90" t="s">
        <v>101</v>
      </c>
      <c r="C30" s="125" t="s">
        <v>102</v>
      </c>
      <c r="D30" s="116">
        <v>0.42499999999999999</v>
      </c>
      <c r="E30" s="116">
        <v>0.42499999999999999</v>
      </c>
      <c r="F30" s="117">
        <v>0.4</v>
      </c>
      <c r="G30" s="117">
        <v>0.4</v>
      </c>
      <c r="H30" s="118">
        <v>0.375</v>
      </c>
      <c r="I30" s="118">
        <v>0.375</v>
      </c>
      <c r="J30" s="119">
        <v>0.35</v>
      </c>
      <c r="K30" s="119">
        <v>0.35</v>
      </c>
      <c r="L30" s="120">
        <v>0.32500000000000001</v>
      </c>
      <c r="M30" s="120">
        <v>0.32500000000000001</v>
      </c>
      <c r="N30" s="121">
        <v>0.3</v>
      </c>
      <c r="O30" s="121">
        <v>0.3</v>
      </c>
      <c r="P30" s="122">
        <v>0.27500000000000002</v>
      </c>
      <c r="Q30" s="122">
        <v>0.27500000000000002</v>
      </c>
      <c r="R30" s="123">
        <v>0.25</v>
      </c>
      <c r="S30" s="123">
        <v>0.25</v>
      </c>
      <c r="T30" s="807"/>
    </row>
    <row r="31" spans="1:20" ht="15" customHeight="1" x14ac:dyDescent="0.2">
      <c r="A31" s="804"/>
      <c r="B31" s="90" t="s">
        <v>103</v>
      </c>
      <c r="C31" s="126" t="s">
        <v>104</v>
      </c>
      <c r="D31" s="116">
        <v>0.42499999999999999</v>
      </c>
      <c r="E31" s="116">
        <v>0.42499999999999999</v>
      </c>
      <c r="F31" s="117">
        <v>0.4</v>
      </c>
      <c r="G31" s="117">
        <v>0.4</v>
      </c>
      <c r="H31" s="118">
        <v>0.375</v>
      </c>
      <c r="I31" s="118">
        <v>0.375</v>
      </c>
      <c r="J31" s="119">
        <v>0.35</v>
      </c>
      <c r="K31" s="119">
        <v>0.35</v>
      </c>
      <c r="L31" s="120">
        <v>0.32500000000000001</v>
      </c>
      <c r="M31" s="120">
        <v>0.32500000000000001</v>
      </c>
      <c r="N31" s="121">
        <v>0.3</v>
      </c>
      <c r="O31" s="121">
        <v>0.3</v>
      </c>
      <c r="P31" s="122">
        <v>0.27500000000000002</v>
      </c>
      <c r="Q31" s="122">
        <v>0.27500000000000002</v>
      </c>
      <c r="R31" s="88">
        <v>0.25</v>
      </c>
      <c r="S31" s="88">
        <v>0.25</v>
      </c>
      <c r="T31" s="807"/>
    </row>
    <row r="32" spans="1:20" ht="15" customHeight="1" x14ac:dyDescent="0.2">
      <c r="A32" s="804"/>
      <c r="B32" s="90" t="s">
        <v>105</v>
      </c>
      <c r="C32" s="127" t="s">
        <v>106</v>
      </c>
      <c r="D32" s="116">
        <v>0.42499999999999999</v>
      </c>
      <c r="E32" s="116">
        <v>0.42499999999999999</v>
      </c>
      <c r="F32" s="117">
        <v>0.4</v>
      </c>
      <c r="G32" s="117">
        <v>0.4</v>
      </c>
      <c r="H32" s="118">
        <v>0.375</v>
      </c>
      <c r="I32" s="118">
        <v>0.375</v>
      </c>
      <c r="J32" s="119">
        <v>0.35</v>
      </c>
      <c r="K32" s="119">
        <v>0.35</v>
      </c>
      <c r="L32" s="120">
        <v>0.32500000000000001</v>
      </c>
      <c r="M32" s="120">
        <v>0.32500000000000001</v>
      </c>
      <c r="N32" s="121">
        <v>0.3</v>
      </c>
      <c r="O32" s="121">
        <v>0.3</v>
      </c>
      <c r="P32" s="122">
        <v>0.27500000000000002</v>
      </c>
      <c r="Q32" s="122">
        <v>0.27500000000000002</v>
      </c>
      <c r="R32" s="123">
        <v>0.25</v>
      </c>
      <c r="S32" s="123">
        <v>0.25</v>
      </c>
      <c r="T32" s="807"/>
    </row>
    <row r="33" spans="1:20" ht="15" customHeight="1" x14ac:dyDescent="0.2">
      <c r="A33" s="804"/>
      <c r="B33" s="90" t="s">
        <v>107</v>
      </c>
      <c r="C33" s="128" t="s">
        <v>108</v>
      </c>
      <c r="D33" s="116">
        <v>0.42499999999999999</v>
      </c>
      <c r="E33" s="116">
        <v>0.42499999999999999</v>
      </c>
      <c r="F33" s="117">
        <v>0.4</v>
      </c>
      <c r="G33" s="117">
        <v>0.4</v>
      </c>
      <c r="H33" s="118">
        <v>0.375</v>
      </c>
      <c r="I33" s="118">
        <v>0.375</v>
      </c>
      <c r="J33" s="119">
        <v>0.35</v>
      </c>
      <c r="K33" s="119">
        <v>0.35</v>
      </c>
      <c r="L33" s="120">
        <v>0.32500000000000001</v>
      </c>
      <c r="M33" s="120">
        <v>0.32500000000000001</v>
      </c>
      <c r="N33" s="121">
        <v>0.3</v>
      </c>
      <c r="O33" s="121">
        <v>0.3</v>
      </c>
      <c r="P33" s="122">
        <v>0.27500000000000002</v>
      </c>
      <c r="Q33" s="122">
        <v>0.27500000000000002</v>
      </c>
      <c r="R33" s="123">
        <v>0.25</v>
      </c>
      <c r="S33" s="123">
        <v>0.25</v>
      </c>
      <c r="T33" s="807"/>
    </row>
    <row r="34" spans="1:20" ht="15" customHeight="1" x14ac:dyDescent="0.2">
      <c r="A34" s="804"/>
      <c r="B34" s="64"/>
      <c r="C34" s="115" t="s">
        <v>109</v>
      </c>
      <c r="D34" s="116">
        <v>7.2</v>
      </c>
      <c r="E34" s="116">
        <v>6.6</v>
      </c>
      <c r="F34" s="117">
        <v>6.0140000000000002</v>
      </c>
      <c r="G34" s="117">
        <v>5.7640000000000002</v>
      </c>
      <c r="H34" s="118">
        <v>5.5259999999999998</v>
      </c>
      <c r="I34" s="118">
        <v>4.8449999999999998</v>
      </c>
      <c r="J34" s="119">
        <v>4.6379999999999999</v>
      </c>
      <c r="K34" s="119">
        <v>4.4409999999999998</v>
      </c>
      <c r="L34" s="120">
        <v>3.8940000000000001</v>
      </c>
      <c r="M34" s="120">
        <v>3.7229999999999999</v>
      </c>
      <c r="N34" s="121">
        <v>3.56</v>
      </c>
      <c r="O34" s="121">
        <v>3.2320000000000002</v>
      </c>
      <c r="P34" s="122">
        <v>3.0880000000000001</v>
      </c>
      <c r="Q34" s="122">
        <v>2.9510000000000001</v>
      </c>
      <c r="R34" s="123">
        <v>2.8210000000000002</v>
      </c>
      <c r="S34" s="123">
        <v>2.3180000000000001</v>
      </c>
      <c r="T34" s="810" t="s">
        <v>110</v>
      </c>
    </row>
    <row r="35" spans="1:20" ht="15" customHeight="1" x14ac:dyDescent="0.2">
      <c r="A35" s="804"/>
      <c r="B35" s="64"/>
      <c r="C35" s="124" t="s">
        <v>111</v>
      </c>
      <c r="D35" s="116">
        <v>9.1</v>
      </c>
      <c r="E35" s="116">
        <v>8.44</v>
      </c>
      <c r="F35" s="117">
        <v>7.77</v>
      </c>
      <c r="G35" s="117">
        <v>7.4050000000000002</v>
      </c>
      <c r="H35" s="118">
        <v>7.06</v>
      </c>
      <c r="I35" s="118">
        <v>6.335</v>
      </c>
      <c r="J35" s="119">
        <v>6.032</v>
      </c>
      <c r="K35" s="119">
        <v>5.7380000000000004</v>
      </c>
      <c r="L35" s="120">
        <v>5.165</v>
      </c>
      <c r="M35" s="120">
        <v>4.91</v>
      </c>
      <c r="N35" s="121">
        <v>4.67</v>
      </c>
      <c r="O35" s="121">
        <v>4.335</v>
      </c>
      <c r="P35" s="122">
        <v>4.12</v>
      </c>
      <c r="Q35" s="122">
        <v>3.9169999999999998</v>
      </c>
      <c r="R35" s="123">
        <v>3.7250000000000001</v>
      </c>
      <c r="S35" s="123">
        <v>3.1749999999999998</v>
      </c>
      <c r="T35" s="807"/>
    </row>
    <row r="36" spans="1:20" ht="15" customHeight="1" x14ac:dyDescent="0.2">
      <c r="A36" s="804"/>
      <c r="B36" s="64"/>
      <c r="C36" s="125" t="s">
        <v>112</v>
      </c>
      <c r="D36" s="116">
        <v>10.9</v>
      </c>
      <c r="E36" s="116">
        <v>10.284000000000001</v>
      </c>
      <c r="F36" s="117">
        <v>9.5269999999999992</v>
      </c>
      <c r="G36" s="117">
        <v>9.0459999999999994</v>
      </c>
      <c r="H36" s="118">
        <v>8.5890000000000004</v>
      </c>
      <c r="I36" s="118">
        <v>7.8209999999999997</v>
      </c>
      <c r="J36" s="119">
        <v>7.4180000000000001</v>
      </c>
      <c r="K36" s="119">
        <v>7.0380000000000003</v>
      </c>
      <c r="L36" s="120">
        <v>6.4390000000000001</v>
      </c>
      <c r="M36" s="120">
        <v>6.1020000000000003</v>
      </c>
      <c r="N36" s="121">
        <v>5.7839999999999998</v>
      </c>
      <c r="O36" s="121">
        <v>5.4359999999999999</v>
      </c>
      <c r="P36" s="122">
        <v>5.1509999999999998</v>
      </c>
      <c r="Q36" s="122">
        <v>4.8819999999999997</v>
      </c>
      <c r="R36" s="123">
        <v>4.6280000000000001</v>
      </c>
      <c r="S36" s="123">
        <v>4.0330000000000004</v>
      </c>
      <c r="T36" s="807"/>
    </row>
    <row r="37" spans="1:20" ht="15" customHeight="1" x14ac:dyDescent="0.2">
      <c r="A37" s="804"/>
      <c r="B37" s="64"/>
      <c r="C37" s="126" t="s">
        <v>113</v>
      </c>
      <c r="D37" s="103">
        <v>13.3</v>
      </c>
      <c r="E37" s="103">
        <v>12.459</v>
      </c>
      <c r="F37" s="83">
        <v>11.629</v>
      </c>
      <c r="G37" s="83">
        <v>11.077</v>
      </c>
      <c r="H37" s="89">
        <v>10.554</v>
      </c>
      <c r="I37" s="89">
        <v>9.3350000000000009</v>
      </c>
      <c r="J37" s="84">
        <v>8.8780000000000001</v>
      </c>
      <c r="K37" s="84">
        <v>8.4459999999999997</v>
      </c>
      <c r="L37" s="85">
        <v>7.6420000000000003</v>
      </c>
      <c r="M37" s="85">
        <v>7.2610000000000001</v>
      </c>
      <c r="N37" s="86">
        <v>6.899</v>
      </c>
      <c r="O37" s="86">
        <v>6.3079999999999998</v>
      </c>
      <c r="P37" s="87">
        <v>5.9889999999999999</v>
      </c>
      <c r="Q37" s="87">
        <v>5.6870000000000003</v>
      </c>
      <c r="R37" s="88">
        <v>5.4</v>
      </c>
      <c r="S37" s="88">
        <v>4.742</v>
      </c>
      <c r="T37" s="807"/>
    </row>
    <row r="38" spans="1:20" ht="15" customHeight="1" x14ac:dyDescent="0.2">
      <c r="A38" s="804"/>
      <c r="B38" s="64"/>
      <c r="C38" s="127" t="s">
        <v>114</v>
      </c>
      <c r="D38" s="116">
        <v>14.2</v>
      </c>
      <c r="E38" s="116">
        <v>13.885</v>
      </c>
      <c r="F38" s="117">
        <v>12.94</v>
      </c>
      <c r="G38" s="117">
        <v>12.302</v>
      </c>
      <c r="H38" s="118">
        <v>11.698</v>
      </c>
      <c r="I38" s="118">
        <v>10.48</v>
      </c>
      <c r="J38" s="119">
        <v>9.9499999999999993</v>
      </c>
      <c r="K38" s="119">
        <v>9.4499999999999993</v>
      </c>
      <c r="L38" s="120">
        <v>8.6199999999999992</v>
      </c>
      <c r="M38" s="120">
        <v>8.1750000000000007</v>
      </c>
      <c r="N38" s="121">
        <v>7.7530000000000001</v>
      </c>
      <c r="O38" s="121">
        <v>7.15</v>
      </c>
      <c r="P38" s="122">
        <v>6.78</v>
      </c>
      <c r="Q38" s="122">
        <v>6.4249999999999998</v>
      </c>
      <c r="R38" s="123">
        <v>6.09</v>
      </c>
      <c r="S38" s="123">
        <v>5.43</v>
      </c>
      <c r="T38" s="807"/>
    </row>
    <row r="39" spans="1:20" ht="15" customHeight="1" x14ac:dyDescent="0.2">
      <c r="A39" s="805"/>
      <c r="B39" s="64"/>
      <c r="C39" s="128" t="s">
        <v>115</v>
      </c>
      <c r="D39" s="116">
        <v>15.4</v>
      </c>
      <c r="E39" s="116">
        <v>15.311999999999999</v>
      </c>
      <c r="F39" s="117">
        <v>14.252000000000001</v>
      </c>
      <c r="G39" s="117">
        <v>13.526999999999999</v>
      </c>
      <c r="H39" s="118">
        <v>12.84</v>
      </c>
      <c r="I39" s="118">
        <v>11.624000000000001</v>
      </c>
      <c r="J39" s="119">
        <v>11.019</v>
      </c>
      <c r="K39" s="119">
        <v>10.448</v>
      </c>
      <c r="L39" s="120">
        <v>9.593</v>
      </c>
      <c r="M39" s="120">
        <v>9.0869999999999997</v>
      </c>
      <c r="N39" s="121">
        <v>8.6069999999999993</v>
      </c>
      <c r="O39" s="121">
        <v>7.9909999999999997</v>
      </c>
      <c r="P39" s="122">
        <v>7.5650000000000004</v>
      </c>
      <c r="Q39" s="122">
        <v>7.1630000000000003</v>
      </c>
      <c r="R39" s="123">
        <v>6.782</v>
      </c>
      <c r="S39" s="123">
        <v>6.1189999999999998</v>
      </c>
      <c r="T39" s="807"/>
    </row>
    <row r="40" spans="1:20" ht="15" customHeight="1" x14ac:dyDescent="0.2">
      <c r="A40" s="129"/>
      <c r="B40" s="130"/>
      <c r="C40" s="130"/>
      <c r="D40" s="74"/>
      <c r="E40" s="74"/>
      <c r="F40" s="74"/>
      <c r="G40" s="74"/>
      <c r="H40" s="74"/>
      <c r="I40" s="74"/>
      <c r="J40" s="74"/>
      <c r="K40" s="74"/>
      <c r="L40" s="74"/>
      <c r="M40" s="74"/>
      <c r="N40" s="74"/>
      <c r="O40" s="74"/>
      <c r="P40" s="74"/>
      <c r="Q40" s="74"/>
      <c r="R40" s="74"/>
      <c r="S40" s="74"/>
      <c r="T40" s="74"/>
    </row>
    <row r="41" spans="1:20" ht="15" customHeight="1" x14ac:dyDescent="0.2">
      <c r="A41" s="811" t="s">
        <v>116</v>
      </c>
      <c r="B41" s="131"/>
      <c r="C41" s="132" t="s">
        <v>117</v>
      </c>
      <c r="D41" s="66">
        <f t="shared" ref="D41:S41" si="9">D17+D19+D20+D68+D21</f>
        <v>32.5</v>
      </c>
      <c r="E41" s="66">
        <f t="shared" si="9"/>
        <v>31.441276256481078</v>
      </c>
      <c r="F41" s="67">
        <f t="shared" si="9"/>
        <v>31.758476200310273</v>
      </c>
      <c r="G41" s="67">
        <f t="shared" si="9"/>
        <v>29.136428983900899</v>
      </c>
      <c r="H41" s="68">
        <f t="shared" si="9"/>
        <v>28.987222193878999</v>
      </c>
      <c r="I41" s="68">
        <f t="shared" si="9"/>
        <v>26.264867087551863</v>
      </c>
      <c r="J41" s="69">
        <f t="shared" si="9"/>
        <v>25.780284168381048</v>
      </c>
      <c r="K41" s="69">
        <f t="shared" si="9"/>
        <v>23.041289571041908</v>
      </c>
      <c r="L41" s="70">
        <f t="shared" si="9"/>
        <v>22.785915543964347</v>
      </c>
      <c r="M41" s="70">
        <f t="shared" si="9"/>
        <v>20.890731653133148</v>
      </c>
      <c r="N41" s="71">
        <f t="shared" si="9"/>
        <v>21.295833333333334</v>
      </c>
      <c r="O41" s="71">
        <f t="shared" si="9"/>
        <v>19.356497748631412</v>
      </c>
      <c r="P41" s="72">
        <f t="shared" si="9"/>
        <v>19.511506926027891</v>
      </c>
      <c r="Q41" s="72">
        <f t="shared" si="9"/>
        <v>17.241471461573866</v>
      </c>
      <c r="R41" s="73">
        <f t="shared" si="9"/>
        <v>17.535488100155135</v>
      </c>
      <c r="S41" s="73">
        <f t="shared" si="9"/>
        <v>16.402584020837921</v>
      </c>
      <c r="T41" s="74"/>
    </row>
    <row r="42" spans="1:20" ht="15" customHeight="1" x14ac:dyDescent="0.2">
      <c r="A42" s="804"/>
      <c r="B42" s="131"/>
      <c r="C42" s="132" t="s">
        <v>118</v>
      </c>
      <c r="D42" s="103">
        <f t="shared" ref="D42:S42" si="10">4*D43+0.125</f>
        <v>3.625</v>
      </c>
      <c r="E42" s="103">
        <f t="shared" si="10"/>
        <v>3.625</v>
      </c>
      <c r="F42" s="83">
        <f t="shared" si="10"/>
        <v>3.625</v>
      </c>
      <c r="G42" s="83">
        <f t="shared" si="10"/>
        <v>3.625</v>
      </c>
      <c r="H42" s="89">
        <f t="shared" si="10"/>
        <v>3.125</v>
      </c>
      <c r="I42" s="89">
        <f t="shared" si="10"/>
        <v>3.125</v>
      </c>
      <c r="J42" s="84">
        <f t="shared" si="10"/>
        <v>3.1240000000000001</v>
      </c>
      <c r="K42" s="84">
        <f t="shared" si="10"/>
        <v>3.1240000000000001</v>
      </c>
      <c r="L42" s="85">
        <f t="shared" si="10"/>
        <v>3.125</v>
      </c>
      <c r="M42" s="85">
        <f t="shared" si="10"/>
        <v>3.125</v>
      </c>
      <c r="N42" s="86">
        <f t="shared" si="10"/>
        <v>2.625</v>
      </c>
      <c r="O42" s="86">
        <f t="shared" si="10"/>
        <v>2.625</v>
      </c>
      <c r="P42" s="87">
        <f t="shared" si="10"/>
        <v>2.625</v>
      </c>
      <c r="Q42" s="87">
        <f t="shared" si="10"/>
        <v>2.625</v>
      </c>
      <c r="R42" s="88">
        <f t="shared" si="10"/>
        <v>2.6259999999999999</v>
      </c>
      <c r="S42" s="88">
        <f t="shared" si="10"/>
        <v>2.6259999999999999</v>
      </c>
      <c r="T42" s="74"/>
    </row>
    <row r="43" spans="1:20" ht="15" customHeight="1" x14ac:dyDescent="0.2">
      <c r="A43" s="804"/>
      <c r="B43" s="133"/>
      <c r="C43" s="134" t="s">
        <v>119</v>
      </c>
      <c r="D43" s="103">
        <f t="shared" ref="D43:S43" si="11">(D22/2)+D23+(D27/2)</f>
        <v>0.875</v>
      </c>
      <c r="E43" s="103">
        <f t="shared" si="11"/>
        <v>0.875</v>
      </c>
      <c r="F43" s="83">
        <f t="shared" si="11"/>
        <v>0.875</v>
      </c>
      <c r="G43" s="83">
        <f t="shared" si="11"/>
        <v>0.875</v>
      </c>
      <c r="H43" s="89">
        <f t="shared" si="11"/>
        <v>0.75</v>
      </c>
      <c r="I43" s="89">
        <f t="shared" si="11"/>
        <v>0.75</v>
      </c>
      <c r="J43" s="84">
        <f t="shared" si="11"/>
        <v>0.74975000000000003</v>
      </c>
      <c r="K43" s="84">
        <f t="shared" si="11"/>
        <v>0.74975000000000003</v>
      </c>
      <c r="L43" s="70">
        <f t="shared" si="11"/>
        <v>0.75</v>
      </c>
      <c r="M43" s="70">
        <f t="shared" si="11"/>
        <v>0.75</v>
      </c>
      <c r="N43" s="86">
        <f t="shared" si="11"/>
        <v>0.625</v>
      </c>
      <c r="O43" s="86">
        <f t="shared" si="11"/>
        <v>0.625</v>
      </c>
      <c r="P43" s="87">
        <f t="shared" si="11"/>
        <v>0.625</v>
      </c>
      <c r="Q43" s="87">
        <f t="shared" si="11"/>
        <v>0.625</v>
      </c>
      <c r="R43" s="88">
        <f t="shared" si="11"/>
        <v>0.62524999999999997</v>
      </c>
      <c r="S43" s="88">
        <f t="shared" si="11"/>
        <v>0.62524999999999997</v>
      </c>
      <c r="T43" s="74"/>
    </row>
    <row r="44" spans="1:20" ht="15" customHeight="1" x14ac:dyDescent="0.2">
      <c r="A44" s="804"/>
      <c r="B44" s="133"/>
      <c r="C44" s="134" t="s">
        <v>120</v>
      </c>
      <c r="D44" s="103">
        <f t="shared" ref="D44:M44" si="12">D22+2*D23</f>
        <v>1.45</v>
      </c>
      <c r="E44" s="103">
        <f t="shared" si="12"/>
        <v>1.45</v>
      </c>
      <c r="F44" s="83">
        <f t="shared" si="12"/>
        <v>1.3875</v>
      </c>
      <c r="G44" s="83">
        <f t="shared" si="12"/>
        <v>1.3875</v>
      </c>
      <c r="H44" s="89">
        <f t="shared" si="12"/>
        <v>1.325</v>
      </c>
      <c r="I44" s="89">
        <f t="shared" si="12"/>
        <v>1.325</v>
      </c>
      <c r="J44" s="84">
        <f t="shared" si="12"/>
        <v>1.2175</v>
      </c>
      <c r="K44" s="84">
        <f t="shared" si="12"/>
        <v>1.2175</v>
      </c>
      <c r="L44" s="85">
        <f t="shared" si="12"/>
        <v>1.1499999999999999</v>
      </c>
      <c r="M44" s="85">
        <f t="shared" si="12"/>
        <v>1.1499999999999999</v>
      </c>
      <c r="N44" s="86">
        <v>1.125</v>
      </c>
      <c r="O44" s="86">
        <v>1.125</v>
      </c>
      <c r="P44" s="87">
        <f t="shared" ref="P44:S44" si="13">P22+2*P23</f>
        <v>1</v>
      </c>
      <c r="Q44" s="87">
        <f t="shared" si="13"/>
        <v>1</v>
      </c>
      <c r="R44" s="88">
        <f t="shared" si="13"/>
        <v>0.9375</v>
      </c>
      <c r="S44" s="88">
        <f t="shared" si="13"/>
        <v>0.9375</v>
      </c>
      <c r="T44" s="74"/>
    </row>
    <row r="45" spans="1:20" ht="15" customHeight="1" x14ac:dyDescent="0.2">
      <c r="A45" s="804"/>
      <c r="B45" s="133"/>
      <c r="C45" s="134" t="s">
        <v>121</v>
      </c>
      <c r="D45" s="103">
        <f t="shared" ref="D45:S45" si="14">D41*D42</f>
        <v>117.8125</v>
      </c>
      <c r="E45" s="103">
        <f t="shared" si="14"/>
        <v>113.97462642974391</v>
      </c>
      <c r="F45" s="83">
        <f t="shared" si="14"/>
        <v>115.12447622612474</v>
      </c>
      <c r="G45" s="83">
        <f t="shared" si="14"/>
        <v>105.61955506664076</v>
      </c>
      <c r="H45" s="89">
        <f t="shared" si="14"/>
        <v>90.585069355871866</v>
      </c>
      <c r="I45" s="89">
        <f t="shared" si="14"/>
        <v>82.07770964859958</v>
      </c>
      <c r="J45" s="84">
        <f t="shared" si="14"/>
        <v>80.537607742022402</v>
      </c>
      <c r="K45" s="84">
        <f t="shared" si="14"/>
        <v>71.980988619934919</v>
      </c>
      <c r="L45" s="85">
        <f t="shared" si="14"/>
        <v>71.205986074888585</v>
      </c>
      <c r="M45" s="85">
        <f t="shared" si="14"/>
        <v>65.283536416041088</v>
      </c>
      <c r="N45" s="86">
        <f t="shared" si="14"/>
        <v>55.901562500000004</v>
      </c>
      <c r="O45" s="86">
        <f t="shared" si="14"/>
        <v>50.810806590157455</v>
      </c>
      <c r="P45" s="87">
        <f t="shared" si="14"/>
        <v>51.217705680823215</v>
      </c>
      <c r="Q45" s="87">
        <f t="shared" si="14"/>
        <v>45.258862586631395</v>
      </c>
      <c r="R45" s="88">
        <f t="shared" si="14"/>
        <v>46.04819175100738</v>
      </c>
      <c r="S45" s="88">
        <f t="shared" si="14"/>
        <v>43.073185638720375</v>
      </c>
      <c r="T45" s="106"/>
    </row>
    <row r="46" spans="1:20" ht="15" customHeight="1" x14ac:dyDescent="0.2">
      <c r="A46" s="804"/>
      <c r="B46" s="133"/>
      <c r="C46" s="134" t="s">
        <v>122</v>
      </c>
      <c r="D46" s="103">
        <f t="shared" ref="D46:S46" si="15">((D41*D42*D43)/144)*2</f>
        <v>1.4317491319444444</v>
      </c>
      <c r="E46" s="103">
        <f t="shared" si="15"/>
        <v>1.3851083073059156</v>
      </c>
      <c r="F46" s="83">
        <f t="shared" si="15"/>
        <v>1.3990821763591548</v>
      </c>
      <c r="G46" s="83">
        <f t="shared" si="15"/>
        <v>1.2835709817126482</v>
      </c>
      <c r="H46" s="89">
        <f t="shared" si="15"/>
        <v>0.94359447245699868</v>
      </c>
      <c r="I46" s="89">
        <f t="shared" si="15"/>
        <v>0.85497614217291229</v>
      </c>
      <c r="J46" s="84">
        <f t="shared" si="15"/>
        <v>0.83865376950807358</v>
      </c>
      <c r="K46" s="84">
        <f t="shared" si="15"/>
        <v>0.74955203080272514</v>
      </c>
      <c r="L46" s="85">
        <f t="shared" si="15"/>
        <v>0.7417290216134228</v>
      </c>
      <c r="M46" s="85">
        <f t="shared" si="15"/>
        <v>0.68003683766709466</v>
      </c>
      <c r="N46" s="86">
        <f t="shared" si="15"/>
        <v>0.4852566189236111</v>
      </c>
      <c r="O46" s="86">
        <f t="shared" si="15"/>
        <v>0.44106602942845013</v>
      </c>
      <c r="P46" s="87">
        <f t="shared" si="15"/>
        <v>0.44459813959047928</v>
      </c>
      <c r="Q46" s="87">
        <f t="shared" si="15"/>
        <v>0.39287207106450861</v>
      </c>
      <c r="R46" s="88">
        <f t="shared" si="15"/>
        <v>0.39988377628218558</v>
      </c>
      <c r="S46" s="88">
        <f t="shared" si="15"/>
        <v>0.37404874056402654</v>
      </c>
      <c r="T46" s="106"/>
    </row>
    <row r="47" spans="1:20" ht="15" customHeight="1" x14ac:dyDescent="0.2">
      <c r="A47" s="804"/>
      <c r="B47" s="135"/>
      <c r="C47" s="136" t="s">
        <v>123</v>
      </c>
      <c r="D47" s="103">
        <f t="shared" ref="D47:S47" si="16">D17+D19+D20+1-D50</f>
        <v>4.625</v>
      </c>
      <c r="E47" s="103">
        <f t="shared" si="16"/>
        <v>4.625</v>
      </c>
      <c r="F47" s="83">
        <f t="shared" si="16"/>
        <v>4.5</v>
      </c>
      <c r="G47" s="83">
        <f t="shared" si="16"/>
        <v>4.375</v>
      </c>
      <c r="H47" s="89">
        <f t="shared" si="16"/>
        <v>4.25</v>
      </c>
      <c r="I47" s="89">
        <f t="shared" si="16"/>
        <v>4.25</v>
      </c>
      <c r="J47" s="84">
        <f t="shared" si="16"/>
        <v>4.125</v>
      </c>
      <c r="K47" s="84">
        <f t="shared" si="16"/>
        <v>4</v>
      </c>
      <c r="L47" s="85">
        <f t="shared" si="16"/>
        <v>3.875</v>
      </c>
      <c r="M47" s="85">
        <f t="shared" si="16"/>
        <v>3.875</v>
      </c>
      <c r="N47" s="86">
        <f t="shared" si="16"/>
        <v>3.75</v>
      </c>
      <c r="O47" s="86">
        <f t="shared" si="16"/>
        <v>3.75</v>
      </c>
      <c r="P47" s="87">
        <f t="shared" si="16"/>
        <v>3.625</v>
      </c>
      <c r="Q47" s="87">
        <f t="shared" si="16"/>
        <v>3.5</v>
      </c>
      <c r="R47" s="88">
        <f t="shared" si="16"/>
        <v>3.375</v>
      </c>
      <c r="S47" s="88">
        <f t="shared" si="16"/>
        <v>3.25</v>
      </c>
      <c r="T47" s="106"/>
    </row>
    <row r="48" spans="1:20" ht="15" customHeight="1" x14ac:dyDescent="0.2">
      <c r="A48" s="804"/>
      <c r="B48" s="135"/>
      <c r="C48" s="136" t="s">
        <v>124</v>
      </c>
      <c r="D48" s="103">
        <f t="shared" ref="D48:S48" si="17">D43-(D22/2)-D23/2</f>
        <v>0.26250000000000001</v>
      </c>
      <c r="E48" s="103">
        <f t="shared" si="17"/>
        <v>0.26250000000000001</v>
      </c>
      <c r="F48" s="83">
        <f t="shared" si="17"/>
        <v>0.29375000000000001</v>
      </c>
      <c r="G48" s="83">
        <f t="shared" si="17"/>
        <v>0.29375000000000001</v>
      </c>
      <c r="H48" s="89">
        <f t="shared" si="17"/>
        <v>0.2</v>
      </c>
      <c r="I48" s="89">
        <f t="shared" si="17"/>
        <v>0.2</v>
      </c>
      <c r="J48" s="84">
        <f t="shared" si="17"/>
        <v>0.24100000000000002</v>
      </c>
      <c r="K48" s="84">
        <f t="shared" si="17"/>
        <v>0.24100000000000002</v>
      </c>
      <c r="L48" s="85">
        <f t="shared" si="17"/>
        <v>0.27500000000000002</v>
      </c>
      <c r="M48" s="85">
        <f t="shared" si="17"/>
        <v>0.27500000000000002</v>
      </c>
      <c r="N48" s="86">
        <f t="shared" si="17"/>
        <v>0.1875</v>
      </c>
      <c r="O48" s="86">
        <f t="shared" si="17"/>
        <v>0.1875</v>
      </c>
      <c r="P48" s="87">
        <f t="shared" si="17"/>
        <v>0.21875</v>
      </c>
      <c r="Q48" s="87">
        <f t="shared" si="17"/>
        <v>0.21875</v>
      </c>
      <c r="R48" s="88">
        <f t="shared" si="17"/>
        <v>0.25024999999999997</v>
      </c>
      <c r="S48" s="88">
        <f t="shared" si="17"/>
        <v>0.25024999999999997</v>
      </c>
      <c r="T48" s="106"/>
    </row>
    <row r="49" spans="1:20" ht="15" customHeight="1" x14ac:dyDescent="0.2">
      <c r="A49" s="804"/>
      <c r="B49" s="135"/>
      <c r="C49" s="136" t="s">
        <v>125</v>
      </c>
      <c r="D49" s="103">
        <f t="shared" ref="D49:K49" si="18">CEILING((D25+0.25),0.125)</f>
        <v>0.75</v>
      </c>
      <c r="E49" s="103">
        <f t="shared" si="18"/>
        <v>0.75</v>
      </c>
      <c r="F49" s="83">
        <f t="shared" si="18"/>
        <v>0.75</v>
      </c>
      <c r="G49" s="83">
        <f t="shared" si="18"/>
        <v>0.75</v>
      </c>
      <c r="H49" s="89">
        <f t="shared" si="18"/>
        <v>0.75</v>
      </c>
      <c r="I49" s="89">
        <f t="shared" si="18"/>
        <v>0.75</v>
      </c>
      <c r="J49" s="84">
        <f t="shared" si="18"/>
        <v>0.75</v>
      </c>
      <c r="K49" s="84">
        <f t="shared" si="18"/>
        <v>0.75</v>
      </c>
      <c r="L49" s="85">
        <v>0.6875</v>
      </c>
      <c r="M49" s="85">
        <v>0.6875</v>
      </c>
      <c r="N49" s="86">
        <v>0.6875</v>
      </c>
      <c r="O49" s="86">
        <v>0.6875</v>
      </c>
      <c r="P49" s="87">
        <f t="shared" ref="P49:Q49" si="19">CEILING((P25+0.25),0.125)</f>
        <v>0.625</v>
      </c>
      <c r="Q49" s="87">
        <f t="shared" si="19"/>
        <v>0.625</v>
      </c>
      <c r="R49" s="88">
        <v>0.5625</v>
      </c>
      <c r="S49" s="88">
        <v>0.5625</v>
      </c>
      <c r="T49" s="106"/>
    </row>
    <row r="50" spans="1:20" ht="15" customHeight="1" x14ac:dyDescent="0.2">
      <c r="A50" s="804"/>
      <c r="B50" s="135"/>
      <c r="C50" s="136" t="s">
        <v>126</v>
      </c>
      <c r="D50" s="66">
        <f t="shared" ref="D50:S50" si="20">D19</f>
        <v>4.375</v>
      </c>
      <c r="E50" s="66">
        <f t="shared" si="20"/>
        <v>4.25</v>
      </c>
      <c r="F50" s="67">
        <f t="shared" si="20"/>
        <v>4.125</v>
      </c>
      <c r="G50" s="67">
        <f t="shared" si="20"/>
        <v>4</v>
      </c>
      <c r="H50" s="68">
        <f t="shared" si="20"/>
        <v>3.75</v>
      </c>
      <c r="I50" s="68">
        <f t="shared" si="20"/>
        <v>3.75</v>
      </c>
      <c r="J50" s="69">
        <f t="shared" si="20"/>
        <v>3.625</v>
      </c>
      <c r="K50" s="69">
        <f t="shared" si="20"/>
        <v>3.5</v>
      </c>
      <c r="L50" s="70">
        <f t="shared" si="20"/>
        <v>3.375</v>
      </c>
      <c r="M50" s="70">
        <f t="shared" si="20"/>
        <v>3.25</v>
      </c>
      <c r="N50" s="71">
        <f t="shared" si="20"/>
        <v>3.125</v>
      </c>
      <c r="O50" s="71">
        <f t="shared" si="20"/>
        <v>3</v>
      </c>
      <c r="P50" s="72">
        <f t="shared" si="20"/>
        <v>2.875</v>
      </c>
      <c r="Q50" s="72">
        <f t="shared" si="20"/>
        <v>2.75</v>
      </c>
      <c r="R50" s="73">
        <f t="shared" si="20"/>
        <v>2.625</v>
      </c>
      <c r="S50" s="73">
        <f t="shared" si="20"/>
        <v>2.5</v>
      </c>
      <c r="T50" s="106"/>
    </row>
    <row r="51" spans="1:20" ht="15" customHeight="1" x14ac:dyDescent="0.2">
      <c r="A51" s="804"/>
      <c r="B51" s="131" t="s">
        <v>127</v>
      </c>
      <c r="C51" s="137" t="s">
        <v>128</v>
      </c>
      <c r="D51" s="66">
        <f t="shared" ref="D51:S51" si="21">D$17+D$19+D$20+(D$68-D34)</f>
        <v>23.8</v>
      </c>
      <c r="E51" s="66">
        <f t="shared" si="21"/>
        <v>23.341276256481081</v>
      </c>
      <c r="F51" s="67">
        <f t="shared" si="21"/>
        <v>24.244476200310274</v>
      </c>
      <c r="G51" s="67">
        <f t="shared" si="21"/>
        <v>21.8724289839009</v>
      </c>
      <c r="H51" s="68">
        <f t="shared" si="21"/>
        <v>21.961222193878999</v>
      </c>
      <c r="I51" s="68">
        <f t="shared" si="21"/>
        <v>19.919867087551864</v>
      </c>
      <c r="J51" s="69">
        <f t="shared" si="21"/>
        <v>19.642284168381046</v>
      </c>
      <c r="K51" s="69">
        <f t="shared" si="21"/>
        <v>17.100289571041909</v>
      </c>
      <c r="L51" s="70">
        <f t="shared" si="21"/>
        <v>17.391915543964345</v>
      </c>
      <c r="M51" s="70">
        <f t="shared" si="21"/>
        <v>15.667731653133149</v>
      </c>
      <c r="N51" s="71">
        <f t="shared" si="21"/>
        <v>16.235833333333332</v>
      </c>
      <c r="O51" s="71">
        <f t="shared" si="21"/>
        <v>14.624497748631413</v>
      </c>
      <c r="P51" s="72">
        <f t="shared" si="21"/>
        <v>14.923506926027891</v>
      </c>
      <c r="Q51" s="72">
        <f t="shared" si="21"/>
        <v>12.790471461573867</v>
      </c>
      <c r="R51" s="73">
        <f t="shared" si="21"/>
        <v>13.214488100155137</v>
      </c>
      <c r="S51" s="73">
        <f t="shared" si="21"/>
        <v>12.584584020837923</v>
      </c>
      <c r="T51" s="74"/>
    </row>
    <row r="52" spans="1:20" ht="15" customHeight="1" x14ac:dyDescent="0.2">
      <c r="A52" s="804"/>
      <c r="B52" s="131" t="s">
        <v>129</v>
      </c>
      <c r="C52" s="138" t="s">
        <v>130</v>
      </c>
      <c r="D52" s="66">
        <f t="shared" ref="D52:S52" si="22">D$17+D$19+D$20+(D$68-D$35)</f>
        <v>21.9</v>
      </c>
      <c r="E52" s="66">
        <f t="shared" si="22"/>
        <v>21.501276256481077</v>
      </c>
      <c r="F52" s="67">
        <f t="shared" si="22"/>
        <v>22.488476200310274</v>
      </c>
      <c r="G52" s="67">
        <f t="shared" si="22"/>
        <v>20.231428983900898</v>
      </c>
      <c r="H52" s="68">
        <f t="shared" si="22"/>
        <v>20.427222193879</v>
      </c>
      <c r="I52" s="68">
        <f t="shared" si="22"/>
        <v>18.429867087551862</v>
      </c>
      <c r="J52" s="69">
        <f t="shared" si="22"/>
        <v>18.248284168381048</v>
      </c>
      <c r="K52" s="69">
        <f t="shared" si="22"/>
        <v>15.803289571041908</v>
      </c>
      <c r="L52" s="70">
        <f t="shared" si="22"/>
        <v>16.120915543964347</v>
      </c>
      <c r="M52" s="70">
        <f t="shared" si="22"/>
        <v>14.480731653133148</v>
      </c>
      <c r="N52" s="71">
        <f t="shared" si="22"/>
        <v>15.125833333333334</v>
      </c>
      <c r="O52" s="71">
        <f t="shared" si="22"/>
        <v>13.521497748631411</v>
      </c>
      <c r="P52" s="72">
        <f t="shared" si="22"/>
        <v>13.891506926027891</v>
      </c>
      <c r="Q52" s="72">
        <f t="shared" si="22"/>
        <v>11.824471461573868</v>
      </c>
      <c r="R52" s="73">
        <f t="shared" si="22"/>
        <v>12.310488100155137</v>
      </c>
      <c r="S52" s="73">
        <f t="shared" si="22"/>
        <v>11.727584020837924</v>
      </c>
      <c r="T52" s="74"/>
    </row>
    <row r="53" spans="1:20" ht="15" customHeight="1" x14ac:dyDescent="0.2">
      <c r="A53" s="804"/>
      <c r="B53" s="131" t="s">
        <v>131</v>
      </c>
      <c r="C53" s="139" t="s">
        <v>132</v>
      </c>
      <c r="D53" s="66">
        <f t="shared" ref="D53:S53" si="23">D$17+D$19+D$20+(D$68-D$36)</f>
        <v>20.100000000000001</v>
      </c>
      <c r="E53" s="66">
        <f t="shared" si="23"/>
        <v>19.657276256481076</v>
      </c>
      <c r="F53" s="67">
        <f t="shared" si="23"/>
        <v>20.731476200310276</v>
      </c>
      <c r="G53" s="67">
        <f t="shared" si="23"/>
        <v>18.5904289839009</v>
      </c>
      <c r="H53" s="68">
        <f t="shared" si="23"/>
        <v>18.898222193879</v>
      </c>
      <c r="I53" s="68">
        <f t="shared" si="23"/>
        <v>16.943867087551865</v>
      </c>
      <c r="J53" s="69">
        <f t="shared" si="23"/>
        <v>16.862284168381048</v>
      </c>
      <c r="K53" s="69">
        <f t="shared" si="23"/>
        <v>14.503289571041908</v>
      </c>
      <c r="L53" s="70">
        <f t="shared" si="23"/>
        <v>14.846915543964347</v>
      </c>
      <c r="M53" s="70">
        <f t="shared" si="23"/>
        <v>13.288731653133148</v>
      </c>
      <c r="N53" s="71">
        <f t="shared" si="23"/>
        <v>14.011833333333335</v>
      </c>
      <c r="O53" s="71">
        <f t="shared" si="23"/>
        <v>12.420497748631412</v>
      </c>
      <c r="P53" s="72">
        <f t="shared" si="23"/>
        <v>12.860506926027892</v>
      </c>
      <c r="Q53" s="72">
        <f t="shared" si="23"/>
        <v>10.859471461573868</v>
      </c>
      <c r="R53" s="73">
        <f t="shared" si="23"/>
        <v>11.407488100155136</v>
      </c>
      <c r="S53" s="73">
        <f t="shared" si="23"/>
        <v>10.869584020837923</v>
      </c>
      <c r="T53" s="74"/>
    </row>
    <row r="54" spans="1:20" ht="15" customHeight="1" x14ac:dyDescent="0.2">
      <c r="A54" s="804"/>
      <c r="B54" s="131" t="s">
        <v>133</v>
      </c>
      <c r="C54" s="140" t="s">
        <v>134</v>
      </c>
      <c r="D54" s="66">
        <f t="shared" ref="D54:S54" si="24">D$17+D$19+D$20+(D$68-D$37)</f>
        <v>17.7</v>
      </c>
      <c r="E54" s="66">
        <f t="shared" si="24"/>
        <v>17.482276256481079</v>
      </c>
      <c r="F54" s="67">
        <f t="shared" si="24"/>
        <v>18.629476200310272</v>
      </c>
      <c r="G54" s="67">
        <f t="shared" si="24"/>
        <v>16.559428983900901</v>
      </c>
      <c r="H54" s="68">
        <f t="shared" si="24"/>
        <v>16.933222193878997</v>
      </c>
      <c r="I54" s="68">
        <f t="shared" si="24"/>
        <v>15.429867087551862</v>
      </c>
      <c r="J54" s="69">
        <f t="shared" si="24"/>
        <v>15.402284168381048</v>
      </c>
      <c r="K54" s="69">
        <f t="shared" si="24"/>
        <v>13.095289571041908</v>
      </c>
      <c r="L54" s="70">
        <f t="shared" si="24"/>
        <v>13.643915543964347</v>
      </c>
      <c r="M54" s="70">
        <f t="shared" si="24"/>
        <v>12.129731653133149</v>
      </c>
      <c r="N54" s="71">
        <f t="shared" si="24"/>
        <v>12.896833333333333</v>
      </c>
      <c r="O54" s="71">
        <f t="shared" si="24"/>
        <v>11.548497748631412</v>
      </c>
      <c r="P54" s="72">
        <f t="shared" si="24"/>
        <v>12.022506926027891</v>
      </c>
      <c r="Q54" s="72">
        <f t="shared" si="24"/>
        <v>10.054471461573868</v>
      </c>
      <c r="R54" s="73">
        <f t="shared" si="24"/>
        <v>10.635488100155136</v>
      </c>
      <c r="S54" s="73">
        <f t="shared" si="24"/>
        <v>10.160584020837923</v>
      </c>
      <c r="T54" s="74"/>
    </row>
    <row r="55" spans="1:20" ht="15" customHeight="1" x14ac:dyDescent="0.2">
      <c r="A55" s="804"/>
      <c r="B55" s="131" t="s">
        <v>135</v>
      </c>
      <c r="C55" s="65" t="s">
        <v>136</v>
      </c>
      <c r="D55" s="66">
        <f t="shared" ref="D55:S55" si="25">D$17+D$19+D$20+(D$68-D$38)</f>
        <v>16.8</v>
      </c>
      <c r="E55" s="66">
        <f t="shared" si="25"/>
        <v>16.056276256481077</v>
      </c>
      <c r="F55" s="67">
        <f t="shared" si="25"/>
        <v>17.318476200310272</v>
      </c>
      <c r="G55" s="67">
        <f t="shared" si="25"/>
        <v>15.334428983900899</v>
      </c>
      <c r="H55" s="68">
        <f t="shared" si="25"/>
        <v>15.789222193878999</v>
      </c>
      <c r="I55" s="68">
        <f t="shared" si="25"/>
        <v>14.284867087551863</v>
      </c>
      <c r="J55" s="69">
        <f t="shared" si="25"/>
        <v>14.330284168381048</v>
      </c>
      <c r="K55" s="69">
        <f t="shared" si="25"/>
        <v>12.091289571041909</v>
      </c>
      <c r="L55" s="70">
        <f t="shared" si="25"/>
        <v>12.665915543964347</v>
      </c>
      <c r="M55" s="70">
        <f t="shared" si="25"/>
        <v>11.215731653133147</v>
      </c>
      <c r="N55" s="71">
        <f t="shared" si="25"/>
        <v>12.042833333333334</v>
      </c>
      <c r="O55" s="71">
        <f t="shared" si="25"/>
        <v>10.706497748631412</v>
      </c>
      <c r="P55" s="72">
        <f t="shared" si="25"/>
        <v>11.23150692602789</v>
      </c>
      <c r="Q55" s="72">
        <f t="shared" si="25"/>
        <v>9.3164714615738689</v>
      </c>
      <c r="R55" s="73">
        <f t="shared" si="25"/>
        <v>9.9454881001551367</v>
      </c>
      <c r="S55" s="73">
        <f t="shared" si="25"/>
        <v>9.4725840208379228</v>
      </c>
      <c r="T55" s="74"/>
    </row>
    <row r="56" spans="1:20" ht="15" customHeight="1" x14ac:dyDescent="0.2">
      <c r="A56" s="804"/>
      <c r="B56" s="131" t="s">
        <v>137</v>
      </c>
      <c r="C56" s="141" t="s">
        <v>138</v>
      </c>
      <c r="D56" s="66">
        <f t="shared" ref="D56:S56" si="26">D$17+D$19+D$20+(D$68-D$39)</f>
        <v>15.6</v>
      </c>
      <c r="E56" s="66">
        <f t="shared" si="26"/>
        <v>14.629276256481079</v>
      </c>
      <c r="F56" s="67">
        <f t="shared" si="26"/>
        <v>16.006476200310274</v>
      </c>
      <c r="G56" s="67">
        <f t="shared" si="26"/>
        <v>14.1094289839009</v>
      </c>
      <c r="H56" s="68">
        <f t="shared" si="26"/>
        <v>14.647222193878999</v>
      </c>
      <c r="I56" s="68">
        <f t="shared" si="26"/>
        <v>13.140867087551863</v>
      </c>
      <c r="J56" s="69">
        <f t="shared" si="26"/>
        <v>13.261284168381048</v>
      </c>
      <c r="K56" s="69">
        <f t="shared" si="26"/>
        <v>11.093289571041907</v>
      </c>
      <c r="L56" s="70">
        <f t="shared" si="26"/>
        <v>11.692915543964347</v>
      </c>
      <c r="M56" s="70">
        <f t="shared" si="26"/>
        <v>10.303731653133148</v>
      </c>
      <c r="N56" s="71">
        <f t="shared" si="26"/>
        <v>11.188833333333335</v>
      </c>
      <c r="O56" s="71">
        <f t="shared" si="26"/>
        <v>9.8654977486314124</v>
      </c>
      <c r="P56" s="72">
        <f t="shared" si="26"/>
        <v>10.44650692602789</v>
      </c>
      <c r="Q56" s="72">
        <f t="shared" si="26"/>
        <v>8.5784714615738675</v>
      </c>
      <c r="R56" s="73">
        <f t="shared" si="26"/>
        <v>9.2534881001551366</v>
      </c>
      <c r="S56" s="73">
        <f t="shared" si="26"/>
        <v>8.7835840208379228</v>
      </c>
      <c r="T56" s="74"/>
    </row>
    <row r="57" spans="1:20" ht="15" customHeight="1" x14ac:dyDescent="0.2">
      <c r="A57" s="804"/>
      <c r="B57" s="142" t="s">
        <v>139</v>
      </c>
      <c r="C57" s="143" t="s">
        <v>140</v>
      </c>
      <c r="D57" s="144">
        <f t="shared" ref="D57:S57" si="27">D51-D52</f>
        <v>1.9000000000000021</v>
      </c>
      <c r="E57" s="144">
        <f t="shared" si="27"/>
        <v>1.8400000000000034</v>
      </c>
      <c r="F57" s="145">
        <f t="shared" si="27"/>
        <v>1.7560000000000002</v>
      </c>
      <c r="G57" s="145">
        <f t="shared" si="27"/>
        <v>1.6410000000000018</v>
      </c>
      <c r="H57" s="146">
        <f t="shared" si="27"/>
        <v>1.5339999999999989</v>
      </c>
      <c r="I57" s="146">
        <f t="shared" si="27"/>
        <v>1.490000000000002</v>
      </c>
      <c r="J57" s="147">
        <f t="shared" si="27"/>
        <v>1.3939999999999984</v>
      </c>
      <c r="K57" s="147">
        <f t="shared" si="27"/>
        <v>1.2970000000000006</v>
      </c>
      <c r="L57" s="148">
        <f t="shared" si="27"/>
        <v>1.2709999999999972</v>
      </c>
      <c r="M57" s="148">
        <f t="shared" si="27"/>
        <v>1.1870000000000012</v>
      </c>
      <c r="N57" s="149">
        <f t="shared" si="27"/>
        <v>1.1099999999999977</v>
      </c>
      <c r="O57" s="149">
        <f t="shared" si="27"/>
        <v>1.1030000000000015</v>
      </c>
      <c r="P57" s="150">
        <f t="shared" si="27"/>
        <v>1.032</v>
      </c>
      <c r="Q57" s="150">
        <f t="shared" si="27"/>
        <v>0.9659999999999993</v>
      </c>
      <c r="R57" s="151">
        <f t="shared" si="27"/>
        <v>0.90399999999999991</v>
      </c>
      <c r="S57" s="151">
        <f t="shared" si="27"/>
        <v>0.85699999999999932</v>
      </c>
      <c r="T57" s="812" t="s">
        <v>141</v>
      </c>
    </row>
    <row r="58" spans="1:20" ht="15" customHeight="1" x14ac:dyDescent="0.2">
      <c r="A58" s="804"/>
      <c r="B58" s="142" t="s">
        <v>142</v>
      </c>
      <c r="C58" s="143" t="s">
        <v>143</v>
      </c>
      <c r="D58" s="144">
        <f t="shared" ref="D58:S58" si="28">D52-D53</f>
        <v>1.7999999999999972</v>
      </c>
      <c r="E58" s="144">
        <f t="shared" si="28"/>
        <v>1.8440000000000012</v>
      </c>
      <c r="F58" s="145">
        <f t="shared" si="28"/>
        <v>1.7569999999999979</v>
      </c>
      <c r="G58" s="145">
        <f t="shared" si="28"/>
        <v>1.6409999999999982</v>
      </c>
      <c r="H58" s="146">
        <f t="shared" si="28"/>
        <v>1.5289999999999999</v>
      </c>
      <c r="I58" s="146">
        <f t="shared" si="28"/>
        <v>1.4859999999999971</v>
      </c>
      <c r="J58" s="147">
        <f t="shared" si="28"/>
        <v>1.3859999999999992</v>
      </c>
      <c r="K58" s="147">
        <f t="shared" si="28"/>
        <v>1.3000000000000007</v>
      </c>
      <c r="L58" s="148">
        <f t="shared" si="28"/>
        <v>1.2740000000000009</v>
      </c>
      <c r="M58" s="148">
        <f t="shared" si="28"/>
        <v>1.1920000000000002</v>
      </c>
      <c r="N58" s="149">
        <f t="shared" si="28"/>
        <v>1.113999999999999</v>
      </c>
      <c r="O58" s="149">
        <f t="shared" si="28"/>
        <v>1.1009999999999991</v>
      </c>
      <c r="P58" s="150">
        <f t="shared" si="28"/>
        <v>1.0309999999999988</v>
      </c>
      <c r="Q58" s="150">
        <f t="shared" si="28"/>
        <v>0.96499999999999986</v>
      </c>
      <c r="R58" s="151">
        <f t="shared" si="28"/>
        <v>0.90300000000000047</v>
      </c>
      <c r="S58" s="151">
        <f t="shared" si="28"/>
        <v>0.85800000000000054</v>
      </c>
      <c r="T58" s="807"/>
    </row>
    <row r="59" spans="1:20" ht="15" customHeight="1" x14ac:dyDescent="0.2">
      <c r="A59" s="804"/>
      <c r="B59" s="142" t="s">
        <v>144</v>
      </c>
      <c r="C59" s="143" t="s">
        <v>145</v>
      </c>
      <c r="D59" s="144">
        <f t="shared" ref="D59:S59" si="29">D53-D54</f>
        <v>2.4000000000000021</v>
      </c>
      <c r="E59" s="144">
        <f t="shared" si="29"/>
        <v>2.1749999999999972</v>
      </c>
      <c r="F59" s="145">
        <f t="shared" si="29"/>
        <v>2.1020000000000039</v>
      </c>
      <c r="G59" s="145">
        <f t="shared" si="29"/>
        <v>2.0309999999999988</v>
      </c>
      <c r="H59" s="146">
        <f t="shared" si="29"/>
        <v>1.9650000000000034</v>
      </c>
      <c r="I59" s="146">
        <f t="shared" si="29"/>
        <v>1.5140000000000029</v>
      </c>
      <c r="J59" s="147">
        <f t="shared" si="29"/>
        <v>1.4600000000000009</v>
      </c>
      <c r="K59" s="147">
        <f t="shared" si="29"/>
        <v>1.4079999999999995</v>
      </c>
      <c r="L59" s="148">
        <f t="shared" si="29"/>
        <v>1.2029999999999994</v>
      </c>
      <c r="M59" s="148">
        <f t="shared" si="29"/>
        <v>1.1589999999999989</v>
      </c>
      <c r="N59" s="149">
        <f t="shared" si="29"/>
        <v>1.115000000000002</v>
      </c>
      <c r="O59" s="149">
        <f t="shared" si="29"/>
        <v>0.87199999999999989</v>
      </c>
      <c r="P59" s="150">
        <f t="shared" si="29"/>
        <v>0.83800000000000097</v>
      </c>
      <c r="Q59" s="150">
        <f t="shared" si="29"/>
        <v>0.80499999999999972</v>
      </c>
      <c r="R59" s="151">
        <f t="shared" si="29"/>
        <v>0.77200000000000024</v>
      </c>
      <c r="S59" s="151">
        <f t="shared" si="29"/>
        <v>0.70899999999999963</v>
      </c>
      <c r="T59" s="807"/>
    </row>
    <row r="60" spans="1:20" ht="15" customHeight="1" x14ac:dyDescent="0.2">
      <c r="A60" s="804"/>
      <c r="B60" s="142" t="s">
        <v>146</v>
      </c>
      <c r="C60" s="143" t="s">
        <v>147</v>
      </c>
      <c r="D60" s="144">
        <f t="shared" ref="D60:S60" si="30">D54-D55</f>
        <v>0.89999999999999858</v>
      </c>
      <c r="E60" s="144">
        <f t="shared" si="30"/>
        <v>1.4260000000000019</v>
      </c>
      <c r="F60" s="145">
        <f t="shared" si="30"/>
        <v>1.3109999999999999</v>
      </c>
      <c r="G60" s="145">
        <f t="shared" si="30"/>
        <v>1.2250000000000014</v>
      </c>
      <c r="H60" s="146">
        <f t="shared" si="30"/>
        <v>1.1439999999999984</v>
      </c>
      <c r="I60" s="146">
        <f t="shared" si="30"/>
        <v>1.1449999999999996</v>
      </c>
      <c r="J60" s="147">
        <f t="shared" si="30"/>
        <v>1.0719999999999992</v>
      </c>
      <c r="K60" s="147">
        <f t="shared" si="30"/>
        <v>1.0039999999999996</v>
      </c>
      <c r="L60" s="148">
        <f t="shared" si="30"/>
        <v>0.97799999999999976</v>
      </c>
      <c r="M60" s="148">
        <f t="shared" si="30"/>
        <v>0.91400000000000148</v>
      </c>
      <c r="N60" s="149">
        <f t="shared" si="30"/>
        <v>0.8539999999999992</v>
      </c>
      <c r="O60" s="149">
        <f t="shared" si="30"/>
        <v>0.84200000000000053</v>
      </c>
      <c r="P60" s="150">
        <f t="shared" si="30"/>
        <v>0.79100000000000037</v>
      </c>
      <c r="Q60" s="150">
        <f t="shared" si="30"/>
        <v>0.73799999999999955</v>
      </c>
      <c r="R60" s="151">
        <f t="shared" si="30"/>
        <v>0.6899999999999995</v>
      </c>
      <c r="S60" s="151">
        <f t="shared" si="30"/>
        <v>0.68800000000000061</v>
      </c>
      <c r="T60" s="807"/>
    </row>
    <row r="61" spans="1:20" ht="15" customHeight="1" x14ac:dyDescent="0.2">
      <c r="A61" s="804"/>
      <c r="B61" s="142" t="s">
        <v>148</v>
      </c>
      <c r="C61" s="143" t="s">
        <v>149</v>
      </c>
      <c r="D61" s="144">
        <f t="shared" ref="D61:S61" si="31">D55-D56</f>
        <v>1.2000000000000011</v>
      </c>
      <c r="E61" s="144">
        <f t="shared" si="31"/>
        <v>1.4269999999999978</v>
      </c>
      <c r="F61" s="145">
        <f t="shared" si="31"/>
        <v>1.3119999999999976</v>
      </c>
      <c r="G61" s="145">
        <f t="shared" si="31"/>
        <v>1.2249999999999996</v>
      </c>
      <c r="H61" s="146">
        <f t="shared" si="31"/>
        <v>1.1419999999999995</v>
      </c>
      <c r="I61" s="146">
        <f t="shared" si="31"/>
        <v>1.1440000000000001</v>
      </c>
      <c r="J61" s="147">
        <f t="shared" si="31"/>
        <v>1.0690000000000008</v>
      </c>
      <c r="K61" s="147">
        <f t="shared" si="31"/>
        <v>0.99800000000000111</v>
      </c>
      <c r="L61" s="148">
        <f t="shared" si="31"/>
        <v>0.97300000000000075</v>
      </c>
      <c r="M61" s="148">
        <f t="shared" si="31"/>
        <v>0.91199999999999903</v>
      </c>
      <c r="N61" s="149">
        <f t="shared" si="31"/>
        <v>0.8539999999999992</v>
      </c>
      <c r="O61" s="149">
        <f t="shared" si="31"/>
        <v>0.8409999999999993</v>
      </c>
      <c r="P61" s="150">
        <f t="shared" si="31"/>
        <v>0.78500000000000014</v>
      </c>
      <c r="Q61" s="150">
        <f t="shared" si="31"/>
        <v>0.73800000000000132</v>
      </c>
      <c r="R61" s="151">
        <f t="shared" si="31"/>
        <v>0.69200000000000017</v>
      </c>
      <c r="S61" s="151">
        <f t="shared" si="31"/>
        <v>0.68900000000000006</v>
      </c>
      <c r="T61" s="807"/>
    </row>
    <row r="62" spans="1:20" ht="15" customHeight="1" x14ac:dyDescent="0.2">
      <c r="A62" s="804"/>
      <c r="B62" s="131"/>
      <c r="C62" s="152" t="s">
        <v>150</v>
      </c>
      <c r="D62" s="153">
        <f t="shared" ref="D62:S62" si="32">13552/(2*D3)</f>
        <v>27.439680518722454</v>
      </c>
      <c r="E62" s="153">
        <f t="shared" si="32"/>
        <v>25.899609589814411</v>
      </c>
      <c r="F62" s="154">
        <f t="shared" si="32"/>
        <v>24.445976200310273</v>
      </c>
      <c r="G62" s="154">
        <f t="shared" si="32"/>
        <v>23.073928983900899</v>
      </c>
      <c r="H62" s="155">
        <f t="shared" si="32"/>
        <v>21.778888860545667</v>
      </c>
      <c r="I62" s="155">
        <f t="shared" si="32"/>
        <v>20.556533754218531</v>
      </c>
      <c r="J62" s="156">
        <f t="shared" si="32"/>
        <v>19.402784168381046</v>
      </c>
      <c r="K62" s="156">
        <f t="shared" si="32"/>
        <v>18.313789571041909</v>
      </c>
      <c r="L62" s="157">
        <f t="shared" si="32"/>
        <v>17.285915543964347</v>
      </c>
      <c r="M62" s="157">
        <f t="shared" si="32"/>
        <v>16.315731653133149</v>
      </c>
      <c r="N62" s="158">
        <f t="shared" si="32"/>
        <v>15.4</v>
      </c>
      <c r="O62" s="158">
        <f t="shared" si="32"/>
        <v>14.535664415298079</v>
      </c>
      <c r="P62" s="159">
        <f t="shared" si="32"/>
        <v>13.719840259361225</v>
      </c>
      <c r="Q62" s="159">
        <f t="shared" si="32"/>
        <v>12.949804794907202</v>
      </c>
      <c r="R62" s="160">
        <f t="shared" si="32"/>
        <v>12.222988100155137</v>
      </c>
      <c r="S62" s="160">
        <f t="shared" si="32"/>
        <v>11.536964491950448</v>
      </c>
      <c r="T62" s="74"/>
    </row>
    <row r="63" spans="1:20" ht="15" customHeight="1" x14ac:dyDescent="0.2">
      <c r="A63" s="804"/>
      <c r="B63" s="133"/>
      <c r="C63" s="161" t="s">
        <v>151</v>
      </c>
      <c r="D63" s="116">
        <f t="shared" ref="D63:S63" si="33">D22/3</f>
        <v>0.33333333333333331</v>
      </c>
      <c r="E63" s="116">
        <f t="shared" si="33"/>
        <v>0.33333333333333331</v>
      </c>
      <c r="F63" s="117">
        <f t="shared" si="33"/>
        <v>0.3125</v>
      </c>
      <c r="G63" s="117">
        <f t="shared" si="33"/>
        <v>0.3125</v>
      </c>
      <c r="H63" s="118">
        <f t="shared" si="33"/>
        <v>0.29166666666666669</v>
      </c>
      <c r="I63" s="118">
        <f t="shared" si="33"/>
        <v>0.29166666666666669</v>
      </c>
      <c r="J63" s="119">
        <f t="shared" si="33"/>
        <v>0.27250000000000002</v>
      </c>
      <c r="K63" s="119">
        <f t="shared" si="33"/>
        <v>0.27250000000000002</v>
      </c>
      <c r="L63" s="120">
        <f t="shared" si="33"/>
        <v>0.25</v>
      </c>
      <c r="M63" s="120">
        <f t="shared" si="33"/>
        <v>0.25</v>
      </c>
      <c r="N63" s="121">
        <f t="shared" si="33"/>
        <v>0.22916666666666666</v>
      </c>
      <c r="O63" s="121">
        <f t="shared" si="33"/>
        <v>0.22916666666666666</v>
      </c>
      <c r="P63" s="122">
        <f t="shared" si="33"/>
        <v>0.20833333333333334</v>
      </c>
      <c r="Q63" s="122">
        <f t="shared" si="33"/>
        <v>0.20833333333333334</v>
      </c>
      <c r="R63" s="123">
        <f t="shared" si="33"/>
        <v>0.1875</v>
      </c>
      <c r="S63" s="123">
        <f t="shared" si="33"/>
        <v>0.1875</v>
      </c>
      <c r="T63" s="106"/>
    </row>
    <row r="64" spans="1:20" ht="15" customHeight="1" x14ac:dyDescent="0.2">
      <c r="A64" s="804"/>
      <c r="B64" s="90"/>
      <c r="C64" s="161" t="s">
        <v>152</v>
      </c>
      <c r="D64" s="162">
        <v>3.5</v>
      </c>
      <c r="E64" s="162">
        <v>3.5</v>
      </c>
      <c r="F64" s="163">
        <v>1.5</v>
      </c>
      <c r="G64" s="163">
        <v>2.5</v>
      </c>
      <c r="H64" s="164">
        <v>1</v>
      </c>
      <c r="I64" s="164">
        <v>2.5</v>
      </c>
      <c r="J64" s="165">
        <v>1.6</v>
      </c>
      <c r="K64" s="165">
        <v>3</v>
      </c>
      <c r="L64" s="166">
        <v>2</v>
      </c>
      <c r="M64" s="166">
        <v>2.8</v>
      </c>
      <c r="N64" s="167">
        <v>1.25</v>
      </c>
      <c r="O64" s="167">
        <v>2.2000000000000002</v>
      </c>
      <c r="P64" s="168">
        <v>1</v>
      </c>
      <c r="Q64" s="168">
        <v>2.25</v>
      </c>
      <c r="R64" s="169">
        <v>1</v>
      </c>
      <c r="S64" s="169">
        <f>(S22/S65)*(S22/S65)*(0.94*S65+0)</f>
        <v>1.1968804711125258</v>
      </c>
      <c r="T64" s="170" t="s">
        <v>153</v>
      </c>
    </row>
    <row r="65" spans="1:20" ht="15" customHeight="1" x14ac:dyDescent="0.2">
      <c r="A65" s="804"/>
      <c r="B65" s="133"/>
      <c r="C65" s="161" t="s">
        <v>154</v>
      </c>
      <c r="D65" s="116">
        <f t="shared" ref="D65:S65" si="34">3.1415*((D22/2)^2)</f>
        <v>0.78537500000000005</v>
      </c>
      <c r="E65" s="116">
        <f t="shared" si="34"/>
        <v>0.78537500000000005</v>
      </c>
      <c r="F65" s="117">
        <f t="shared" si="34"/>
        <v>0.69027099609375009</v>
      </c>
      <c r="G65" s="117">
        <f t="shared" si="34"/>
        <v>0.69027099609375009</v>
      </c>
      <c r="H65" s="118">
        <f t="shared" si="34"/>
        <v>0.60130273437500004</v>
      </c>
      <c r="I65" s="118">
        <f t="shared" si="34"/>
        <v>0.60130273437500004</v>
      </c>
      <c r="J65" s="119">
        <f t="shared" si="34"/>
        <v>0.52487102109375006</v>
      </c>
      <c r="K65" s="119">
        <f t="shared" si="34"/>
        <v>0.52487102109375006</v>
      </c>
      <c r="L65" s="120">
        <f t="shared" si="34"/>
        <v>0.44177343750000003</v>
      </c>
      <c r="M65" s="120">
        <f t="shared" si="34"/>
        <v>0.44177343750000003</v>
      </c>
      <c r="N65" s="121">
        <f t="shared" si="34"/>
        <v>0.37121240234375003</v>
      </c>
      <c r="O65" s="121">
        <f t="shared" si="34"/>
        <v>0.37121240234375003</v>
      </c>
      <c r="P65" s="122">
        <f t="shared" si="34"/>
        <v>0.30678710937500003</v>
      </c>
      <c r="Q65" s="122">
        <f t="shared" si="34"/>
        <v>0.30678710937500003</v>
      </c>
      <c r="R65" s="123">
        <f t="shared" si="34"/>
        <v>0.24849755859375</v>
      </c>
      <c r="S65" s="123">
        <f t="shared" si="34"/>
        <v>0.24849755859375</v>
      </c>
      <c r="T65" s="170"/>
    </row>
    <row r="66" spans="1:20" ht="15" customHeight="1" x14ac:dyDescent="0.2">
      <c r="A66" s="804"/>
      <c r="B66" s="133"/>
      <c r="C66" s="161" t="s">
        <v>155</v>
      </c>
      <c r="D66" s="162">
        <f t="shared" ref="D66:S66" si="35">3.1415*D68*((D22/2)^2)</f>
        <v>18.063625000000002</v>
      </c>
      <c r="E66" s="162">
        <f t="shared" si="35"/>
        <v>17.330301714933828</v>
      </c>
      <c r="F66" s="163">
        <f t="shared" si="35"/>
        <v>15.623232161852359</v>
      </c>
      <c r="G66" s="163">
        <f t="shared" si="35"/>
        <v>13.985876767000052</v>
      </c>
      <c r="H66" s="164">
        <f t="shared" si="35"/>
        <v>12.319022724927629</v>
      </c>
      <c r="I66" s="164">
        <f t="shared" si="35"/>
        <v>10.682063155553378</v>
      </c>
      <c r="J66" s="165">
        <f t="shared" si="35"/>
        <v>9.2011381515217607</v>
      </c>
      <c r="K66" s="165">
        <f t="shared" si="35"/>
        <v>7.8947370157195396</v>
      </c>
      <c r="L66" s="166">
        <f t="shared" si="35"/>
        <v>6.6424680958168114</v>
      </c>
      <c r="M66" s="166">
        <f t="shared" si="35"/>
        <v>5.860447873357189</v>
      </c>
      <c r="N66" s="167">
        <f t="shared" si="35"/>
        <v>5.1675859842936207</v>
      </c>
      <c r="O66" s="167">
        <f t="shared" si="35"/>
        <v>4.4940821132386679</v>
      </c>
      <c r="P66" s="168">
        <f t="shared" si="35"/>
        <v>3.8383690437613889</v>
      </c>
      <c r="Q66" s="168">
        <f t="shared" si="35"/>
        <v>3.2186482027865533</v>
      </c>
      <c r="R66" s="169">
        <f t="shared" si="35"/>
        <v>2.7422918507789324</v>
      </c>
      <c r="S66" s="169">
        <f t="shared" si="35"/>
        <v>2.5228923425961418</v>
      </c>
      <c r="T66" s="170"/>
    </row>
    <row r="67" spans="1:20" ht="12.75" x14ac:dyDescent="0.2">
      <c r="A67" s="804"/>
      <c r="B67" s="135"/>
      <c r="C67" s="171" t="s">
        <v>156</v>
      </c>
      <c r="D67" s="172">
        <f t="shared" ref="D67:R67" si="36">D66-E66</f>
        <v>0.73332328506617372</v>
      </c>
      <c r="E67" s="172">
        <f t="shared" si="36"/>
        <v>1.7070695530814692</v>
      </c>
      <c r="F67" s="172">
        <f t="shared" si="36"/>
        <v>1.6373553948523067</v>
      </c>
      <c r="G67" s="172">
        <f t="shared" si="36"/>
        <v>1.6668540420724227</v>
      </c>
      <c r="H67" s="172">
        <f t="shared" si="36"/>
        <v>1.6369595693742518</v>
      </c>
      <c r="I67" s="172">
        <f t="shared" si="36"/>
        <v>1.4809250040316169</v>
      </c>
      <c r="J67" s="172">
        <f t="shared" si="36"/>
        <v>1.3064011358022212</v>
      </c>
      <c r="K67" s="172">
        <f t="shared" si="36"/>
        <v>1.2522689199027282</v>
      </c>
      <c r="L67" s="172">
        <f t="shared" si="36"/>
        <v>0.78202022245962244</v>
      </c>
      <c r="M67" s="172">
        <f t="shared" si="36"/>
        <v>0.69286188906356827</v>
      </c>
      <c r="N67" s="172">
        <f t="shared" si="36"/>
        <v>0.6735038710549528</v>
      </c>
      <c r="O67" s="172">
        <f t="shared" si="36"/>
        <v>0.65571306947727903</v>
      </c>
      <c r="P67" s="172">
        <f t="shared" si="36"/>
        <v>0.6197208409748356</v>
      </c>
      <c r="Q67" s="172">
        <f t="shared" si="36"/>
        <v>0.47635635200762083</v>
      </c>
      <c r="R67" s="172">
        <f t="shared" si="36"/>
        <v>0.21939950818279064</v>
      </c>
      <c r="S67" s="172" t="s">
        <v>157</v>
      </c>
      <c r="T67" s="170" t="s">
        <v>158</v>
      </c>
    </row>
    <row r="68" spans="1:20" ht="12.75" x14ac:dyDescent="0.2">
      <c r="A68" s="804"/>
      <c r="B68" s="135" t="s">
        <v>159</v>
      </c>
      <c r="C68" s="171" t="s">
        <v>160</v>
      </c>
      <c r="D68" s="162">
        <v>23</v>
      </c>
      <c r="E68" s="162">
        <f t="shared" ref="E68:S68" si="37">E62-(E63+E64)</f>
        <v>22.066276256481078</v>
      </c>
      <c r="F68" s="163">
        <f t="shared" si="37"/>
        <v>22.633476200310273</v>
      </c>
      <c r="G68" s="163">
        <f t="shared" si="37"/>
        <v>20.261428983900899</v>
      </c>
      <c r="H68" s="164">
        <f t="shared" si="37"/>
        <v>20.487222193878999</v>
      </c>
      <c r="I68" s="164">
        <f t="shared" si="37"/>
        <v>17.764867087551863</v>
      </c>
      <c r="J68" s="165">
        <f t="shared" si="37"/>
        <v>17.530284168381048</v>
      </c>
      <c r="K68" s="165">
        <f t="shared" si="37"/>
        <v>15.041289571041908</v>
      </c>
      <c r="L68" s="166">
        <f t="shared" si="37"/>
        <v>15.035915543964347</v>
      </c>
      <c r="M68" s="166">
        <f t="shared" si="37"/>
        <v>13.265731653133148</v>
      </c>
      <c r="N68" s="167">
        <f t="shared" si="37"/>
        <v>13.920833333333334</v>
      </c>
      <c r="O68" s="167">
        <f t="shared" si="37"/>
        <v>12.106497748631412</v>
      </c>
      <c r="P68" s="168">
        <f t="shared" si="37"/>
        <v>12.511506926027891</v>
      </c>
      <c r="Q68" s="168">
        <f t="shared" si="37"/>
        <v>10.491471461573868</v>
      </c>
      <c r="R68" s="169">
        <f t="shared" si="37"/>
        <v>11.035488100155137</v>
      </c>
      <c r="S68" s="169">
        <f t="shared" si="37"/>
        <v>10.152584020837923</v>
      </c>
      <c r="T68" s="170" t="s">
        <v>161</v>
      </c>
    </row>
    <row r="69" spans="1:20" ht="12.75" x14ac:dyDescent="0.2">
      <c r="A69" s="804"/>
      <c r="B69" s="133"/>
      <c r="C69" s="161" t="s">
        <v>162</v>
      </c>
      <c r="D69" s="162">
        <f t="shared" ref="D69:R69" si="38">D68-E68</f>
        <v>0.93372374351892162</v>
      </c>
      <c r="E69" s="162">
        <f t="shared" si="38"/>
        <v>-0.56719994382919481</v>
      </c>
      <c r="F69" s="162">
        <f t="shared" si="38"/>
        <v>2.3720472164093742</v>
      </c>
      <c r="G69" s="162">
        <f t="shared" si="38"/>
        <v>-0.22579320997810015</v>
      </c>
      <c r="H69" s="162">
        <f t="shared" si="38"/>
        <v>2.7223551063271358</v>
      </c>
      <c r="I69" s="162">
        <f t="shared" si="38"/>
        <v>0.23458291917081553</v>
      </c>
      <c r="J69" s="162">
        <f t="shared" si="38"/>
        <v>2.4889945973391399</v>
      </c>
      <c r="K69" s="162">
        <f t="shared" si="38"/>
        <v>5.3740270775612942E-3</v>
      </c>
      <c r="L69" s="162">
        <f t="shared" si="38"/>
        <v>1.7701838908311984</v>
      </c>
      <c r="M69" s="162">
        <f t="shared" si="38"/>
        <v>-0.65510168020018611</v>
      </c>
      <c r="N69" s="162">
        <f t="shared" si="38"/>
        <v>1.8143355847019222</v>
      </c>
      <c r="O69" s="162">
        <f t="shared" si="38"/>
        <v>-0.40500917739647946</v>
      </c>
      <c r="P69" s="162">
        <f t="shared" si="38"/>
        <v>2.0200354644540237</v>
      </c>
      <c r="Q69" s="162">
        <f t="shared" si="38"/>
        <v>-0.54401663858126881</v>
      </c>
      <c r="R69" s="162">
        <f t="shared" si="38"/>
        <v>0.88290407931721404</v>
      </c>
      <c r="S69" s="162">
        <f>S68-0</f>
        <v>10.152584020837923</v>
      </c>
      <c r="T69" s="170"/>
    </row>
    <row r="70" spans="1:20" ht="12.75" x14ac:dyDescent="0.2">
      <c r="A70" s="804"/>
      <c r="B70" s="133"/>
      <c r="C70" s="161" t="s">
        <v>163</v>
      </c>
      <c r="D70" s="173"/>
      <c r="E70" s="173"/>
      <c r="F70" s="174"/>
      <c r="G70" s="174"/>
      <c r="H70" s="175"/>
      <c r="I70" s="175"/>
      <c r="J70" s="176"/>
      <c r="K70" s="176"/>
      <c r="L70" s="177"/>
      <c r="M70" s="177"/>
      <c r="N70" s="178">
        <v>8311</v>
      </c>
      <c r="O70" s="178">
        <v>8311</v>
      </c>
      <c r="P70" s="179">
        <v>8311</v>
      </c>
      <c r="Q70" s="179">
        <v>8311</v>
      </c>
      <c r="R70" s="180">
        <v>8311</v>
      </c>
      <c r="S70" s="180">
        <v>8311</v>
      </c>
      <c r="T70" s="170"/>
    </row>
    <row r="71" spans="1:20" ht="12.75" x14ac:dyDescent="0.2">
      <c r="A71" s="805"/>
      <c r="B71" s="133"/>
      <c r="C71" s="161" t="s">
        <v>164</v>
      </c>
      <c r="D71" s="173" t="str">
        <f t="shared" ref="D71:S71" si="39">CEILING(D68/D22,0.1)&amp;":"&amp;(D22/D22)</f>
        <v>23:1</v>
      </c>
      <c r="E71" s="173" t="str">
        <f t="shared" si="39"/>
        <v>22.1:1</v>
      </c>
      <c r="F71" s="174" t="str">
        <f t="shared" si="39"/>
        <v>24.2:1</v>
      </c>
      <c r="G71" s="174" t="str">
        <f t="shared" si="39"/>
        <v>21.7:1</v>
      </c>
      <c r="H71" s="175" t="str">
        <f t="shared" si="39"/>
        <v>23.5:1</v>
      </c>
      <c r="I71" s="175" t="str">
        <f t="shared" si="39"/>
        <v>20.4:1</v>
      </c>
      <c r="J71" s="176" t="str">
        <f t="shared" si="39"/>
        <v>21.5:1</v>
      </c>
      <c r="K71" s="176" t="str">
        <f t="shared" si="39"/>
        <v>18.4:1</v>
      </c>
      <c r="L71" s="177" t="str">
        <f t="shared" si="39"/>
        <v>20.1:1</v>
      </c>
      <c r="M71" s="177" t="str">
        <f t="shared" si="39"/>
        <v>17.7:1</v>
      </c>
      <c r="N71" s="178" t="str">
        <f t="shared" si="39"/>
        <v>20.3:1</v>
      </c>
      <c r="O71" s="178" t="str">
        <f t="shared" si="39"/>
        <v>17.7:1</v>
      </c>
      <c r="P71" s="179" t="str">
        <f t="shared" si="39"/>
        <v>20.1:1</v>
      </c>
      <c r="Q71" s="179" t="str">
        <f t="shared" si="39"/>
        <v>16.8:1</v>
      </c>
      <c r="R71" s="180" t="str">
        <f t="shared" si="39"/>
        <v>19.7:1</v>
      </c>
      <c r="S71" s="180" t="str">
        <f t="shared" si="39"/>
        <v>18.1:1</v>
      </c>
      <c r="T71" s="170" t="s">
        <v>165</v>
      </c>
    </row>
    <row r="72" spans="1:20" ht="12.75" x14ac:dyDescent="0.2">
      <c r="A72" s="129"/>
      <c r="B72" s="181"/>
      <c r="C72" s="181"/>
      <c r="D72" s="182"/>
      <c r="E72" s="182"/>
      <c r="F72" s="182"/>
      <c r="G72" s="182"/>
      <c r="H72" s="182"/>
      <c r="I72" s="182"/>
      <c r="J72" s="182"/>
      <c r="K72" s="182"/>
      <c r="L72" s="182"/>
      <c r="M72" s="182"/>
      <c r="N72" s="182"/>
      <c r="O72" s="182"/>
      <c r="P72" s="182"/>
      <c r="Q72" s="182"/>
      <c r="R72" s="182"/>
      <c r="S72" s="182"/>
      <c r="T72" s="183"/>
    </row>
    <row r="73" spans="1:20" ht="12.75" x14ac:dyDescent="0.2">
      <c r="A73" s="813" t="s">
        <v>166</v>
      </c>
      <c r="B73" s="184"/>
      <c r="C73" s="185" t="s">
        <v>22</v>
      </c>
      <c r="D73" s="186"/>
      <c r="E73" s="186"/>
      <c r="F73" s="186"/>
      <c r="G73" s="186"/>
      <c r="H73" s="186"/>
      <c r="I73" s="186"/>
      <c r="J73" s="186"/>
      <c r="K73" s="186"/>
      <c r="L73" s="186"/>
      <c r="M73" s="186"/>
      <c r="N73" s="186"/>
      <c r="O73" s="186"/>
      <c r="P73" s="186"/>
      <c r="Q73" s="186"/>
      <c r="R73" s="186"/>
      <c r="S73" s="186"/>
      <c r="T73" s="23" t="s">
        <v>167</v>
      </c>
    </row>
    <row r="74" spans="1:20" ht="12.75" x14ac:dyDescent="0.2">
      <c r="A74" s="804"/>
      <c r="B74" s="184"/>
      <c r="C74" s="187" t="s">
        <v>38</v>
      </c>
      <c r="D74" s="188"/>
      <c r="E74" s="188"/>
      <c r="F74" s="188"/>
      <c r="G74" s="188"/>
      <c r="H74" s="188"/>
      <c r="I74" s="188"/>
      <c r="J74" s="188"/>
      <c r="K74" s="188"/>
      <c r="L74" s="188"/>
      <c r="M74" s="188"/>
      <c r="N74" s="188"/>
      <c r="O74" s="188"/>
      <c r="P74" s="188"/>
      <c r="Q74" s="188"/>
      <c r="R74" s="188"/>
      <c r="S74" s="188"/>
      <c r="T74" s="23" t="s">
        <v>168</v>
      </c>
    </row>
    <row r="75" spans="1:20" ht="12.75" x14ac:dyDescent="0.2">
      <c r="A75" s="804"/>
      <c r="B75" s="184"/>
      <c r="C75" s="189" t="s">
        <v>43</v>
      </c>
      <c r="D75" s="190"/>
      <c r="E75" s="190"/>
      <c r="F75" s="190"/>
      <c r="G75" s="190"/>
      <c r="H75" s="190"/>
      <c r="I75" s="190"/>
      <c r="J75" s="190"/>
      <c r="K75" s="190"/>
      <c r="L75" s="190"/>
      <c r="M75" s="190"/>
      <c r="N75" s="190"/>
      <c r="O75" s="190"/>
      <c r="P75" s="190"/>
      <c r="Q75" s="190"/>
      <c r="R75" s="190"/>
      <c r="S75" s="190"/>
      <c r="T75" s="23" t="s">
        <v>169</v>
      </c>
    </row>
    <row r="76" spans="1:20" ht="12.75" x14ac:dyDescent="0.2">
      <c r="A76" s="804"/>
      <c r="B76" s="184"/>
      <c r="C76" s="191" t="s">
        <v>48</v>
      </c>
      <c r="D76" s="192"/>
      <c r="E76" s="192"/>
      <c r="F76" s="192"/>
      <c r="G76" s="192"/>
      <c r="H76" s="192"/>
      <c r="I76" s="192"/>
      <c r="J76" s="192"/>
      <c r="K76" s="192"/>
      <c r="L76" s="192"/>
      <c r="M76" s="192"/>
      <c r="N76" s="192"/>
      <c r="O76" s="192"/>
      <c r="P76" s="192"/>
      <c r="Q76" s="192"/>
      <c r="R76" s="192"/>
      <c r="S76" s="192"/>
      <c r="T76" s="23"/>
    </row>
    <row r="77" spans="1:20" ht="12.75" x14ac:dyDescent="0.2">
      <c r="A77" s="804"/>
      <c r="B77" s="184"/>
      <c r="C77" s="193" t="s">
        <v>51</v>
      </c>
      <c r="D77" s="194"/>
      <c r="E77" s="194"/>
      <c r="F77" s="194"/>
      <c r="G77" s="194"/>
      <c r="H77" s="194"/>
      <c r="I77" s="194"/>
      <c r="J77" s="194"/>
      <c r="K77" s="194"/>
      <c r="L77" s="194"/>
      <c r="M77" s="194"/>
      <c r="N77" s="194"/>
      <c r="O77" s="194"/>
      <c r="P77" s="194"/>
      <c r="Q77" s="194"/>
      <c r="R77" s="194"/>
      <c r="S77" s="194"/>
      <c r="T77" s="23"/>
    </row>
    <row r="78" spans="1:20" ht="12.75" x14ac:dyDescent="0.2">
      <c r="A78" s="804"/>
      <c r="B78" s="184"/>
      <c r="C78" s="195" t="s">
        <v>56</v>
      </c>
      <c r="D78" s="196"/>
      <c r="E78" s="196"/>
      <c r="F78" s="196"/>
      <c r="G78" s="196"/>
      <c r="H78" s="196"/>
      <c r="I78" s="196"/>
      <c r="J78" s="196"/>
      <c r="K78" s="196"/>
      <c r="L78" s="196"/>
      <c r="M78" s="196"/>
      <c r="N78" s="196"/>
      <c r="O78" s="196"/>
      <c r="P78" s="196"/>
      <c r="Q78" s="196"/>
      <c r="R78" s="196"/>
      <c r="S78" s="196"/>
      <c r="T78" s="23"/>
    </row>
    <row r="79" spans="1:20" ht="12.75" x14ac:dyDescent="0.2">
      <c r="A79" s="805"/>
      <c r="B79" s="197"/>
      <c r="C79" s="198" t="s">
        <v>59</v>
      </c>
      <c r="D79" s="199"/>
      <c r="E79" s="199"/>
      <c r="F79" s="199"/>
      <c r="G79" s="199"/>
      <c r="H79" s="199"/>
      <c r="I79" s="199"/>
      <c r="J79" s="199"/>
      <c r="K79" s="199"/>
      <c r="L79" s="199"/>
      <c r="M79" s="199"/>
      <c r="N79" s="199"/>
      <c r="O79" s="199"/>
      <c r="P79" s="199"/>
      <c r="Q79" s="199"/>
      <c r="R79" s="199"/>
      <c r="S79" s="199"/>
      <c r="T79" s="60"/>
    </row>
    <row r="80" spans="1:20" ht="12.75" x14ac:dyDescent="0.2">
      <c r="A80" s="61"/>
      <c r="B80" s="62"/>
      <c r="C80" s="63"/>
      <c r="D80" s="23"/>
      <c r="E80" s="23"/>
      <c r="F80" s="23"/>
      <c r="G80" s="23"/>
      <c r="H80" s="23"/>
      <c r="I80" s="23"/>
      <c r="J80" s="23"/>
      <c r="K80" s="23"/>
      <c r="L80" s="23"/>
      <c r="M80" s="23"/>
      <c r="N80" s="23"/>
      <c r="O80" s="23"/>
      <c r="P80" s="23"/>
      <c r="Q80" s="23"/>
      <c r="R80" s="23"/>
      <c r="S80" s="23"/>
      <c r="T80" s="23"/>
    </row>
    <row r="81" spans="1:20" ht="12.75" x14ac:dyDescent="0.2">
      <c r="A81" s="803" t="s">
        <v>170</v>
      </c>
      <c r="B81" s="19"/>
      <c r="C81" s="185" t="s">
        <v>22</v>
      </c>
      <c r="D81" s="186">
        <f t="shared" ref="D81:S81" si="40">D3-D73</f>
        <v>246.94165062806201</v>
      </c>
      <c r="E81" s="186">
        <f t="shared" si="40"/>
        <v>261.62556530059862</v>
      </c>
      <c r="F81" s="186">
        <f t="shared" si="40"/>
        <v>277.18263097687208</v>
      </c>
      <c r="G81" s="186">
        <f t="shared" si="40"/>
        <v>293.66476791740752</v>
      </c>
      <c r="H81" s="186">
        <f t="shared" si="40"/>
        <v>311.12698372208087</v>
      </c>
      <c r="I81" s="186">
        <f t="shared" si="40"/>
        <v>329.62755691286992</v>
      </c>
      <c r="J81" s="186">
        <f t="shared" si="40"/>
        <v>349.22823143300388</v>
      </c>
      <c r="K81" s="186">
        <f t="shared" si="40"/>
        <v>369.99442271163434</v>
      </c>
      <c r="L81" s="186">
        <f t="shared" si="40"/>
        <v>391.99543598174927</v>
      </c>
      <c r="M81" s="186">
        <f t="shared" si="40"/>
        <v>415.30469757994513</v>
      </c>
      <c r="N81" s="186">
        <f t="shared" si="40"/>
        <v>440</v>
      </c>
      <c r="O81" s="186">
        <f t="shared" si="40"/>
        <v>466.16376151808993</v>
      </c>
      <c r="P81" s="186">
        <f t="shared" si="40"/>
        <v>493.88330125612413</v>
      </c>
      <c r="Q81" s="186">
        <f t="shared" si="40"/>
        <v>523.25113060119736</v>
      </c>
      <c r="R81" s="186">
        <f t="shared" si="40"/>
        <v>554.36526195374415</v>
      </c>
      <c r="S81" s="186">
        <f t="shared" si="40"/>
        <v>587.32953583481515</v>
      </c>
      <c r="T81" s="23" t="s">
        <v>171</v>
      </c>
    </row>
    <row r="82" spans="1:20" ht="12.75" x14ac:dyDescent="0.2">
      <c r="A82" s="804"/>
      <c r="B82" s="19"/>
      <c r="C82" s="187" t="s">
        <v>38</v>
      </c>
      <c r="D82" s="188">
        <f t="shared" ref="D82:S82" si="41">D5-D74</f>
        <v>293.66476791740752</v>
      </c>
      <c r="E82" s="188">
        <f t="shared" si="41"/>
        <v>311.12698372208087</v>
      </c>
      <c r="F82" s="188">
        <f t="shared" si="41"/>
        <v>329.62755691286992</v>
      </c>
      <c r="G82" s="188">
        <f t="shared" si="41"/>
        <v>349.22823143300388</v>
      </c>
      <c r="H82" s="188">
        <f t="shared" si="41"/>
        <v>369.99442271163434</v>
      </c>
      <c r="I82" s="188">
        <f t="shared" si="41"/>
        <v>391.99543598174927</v>
      </c>
      <c r="J82" s="188">
        <f t="shared" si="41"/>
        <v>415.30469757994513</v>
      </c>
      <c r="K82" s="188">
        <f t="shared" si="41"/>
        <v>440</v>
      </c>
      <c r="L82" s="188">
        <f t="shared" si="41"/>
        <v>466.16376151808993</v>
      </c>
      <c r="M82" s="188">
        <f t="shared" si="41"/>
        <v>493.88330125612413</v>
      </c>
      <c r="N82" s="188">
        <f t="shared" si="41"/>
        <v>523.25113060119736</v>
      </c>
      <c r="O82" s="188">
        <f t="shared" si="41"/>
        <v>554.36526195374415</v>
      </c>
      <c r="P82" s="188">
        <f t="shared" si="41"/>
        <v>587.32953583481515</v>
      </c>
      <c r="Q82" s="188">
        <f t="shared" si="41"/>
        <v>622.25396744416184</v>
      </c>
      <c r="R82" s="188">
        <f t="shared" si="41"/>
        <v>659.25511382573995</v>
      </c>
      <c r="S82" s="188">
        <f t="shared" si="41"/>
        <v>698.45646286600777</v>
      </c>
      <c r="T82" s="23"/>
    </row>
    <row r="83" spans="1:20" ht="12.75" x14ac:dyDescent="0.2">
      <c r="A83" s="804"/>
      <c r="B83" s="19"/>
      <c r="C83" s="189" t="s">
        <v>43</v>
      </c>
      <c r="D83" s="190">
        <f t="shared" ref="D83:S83" si="42">D7-D75</f>
        <v>329.62755691286992</v>
      </c>
      <c r="E83" s="190">
        <f t="shared" si="42"/>
        <v>349.22823143300388</v>
      </c>
      <c r="F83" s="190">
        <f t="shared" si="42"/>
        <v>369.99442271163434</v>
      </c>
      <c r="G83" s="190">
        <f t="shared" si="42"/>
        <v>391.99543598174927</v>
      </c>
      <c r="H83" s="190">
        <f t="shared" si="42"/>
        <v>415.30469757994513</v>
      </c>
      <c r="I83" s="190">
        <f t="shared" si="42"/>
        <v>440</v>
      </c>
      <c r="J83" s="190">
        <f t="shared" si="42"/>
        <v>466.16376151808993</v>
      </c>
      <c r="K83" s="190">
        <f t="shared" si="42"/>
        <v>493.88330125612413</v>
      </c>
      <c r="L83" s="190">
        <f t="shared" si="42"/>
        <v>523.25113060119736</v>
      </c>
      <c r="M83" s="190">
        <f t="shared" si="42"/>
        <v>554.36526195374415</v>
      </c>
      <c r="N83" s="190">
        <f t="shared" si="42"/>
        <v>587.32953583481515</v>
      </c>
      <c r="O83" s="190">
        <f t="shared" si="42"/>
        <v>622.25396744416184</v>
      </c>
      <c r="P83" s="190">
        <f t="shared" si="42"/>
        <v>659.25511382573995</v>
      </c>
      <c r="Q83" s="190">
        <f t="shared" si="42"/>
        <v>698.45646286600777</v>
      </c>
      <c r="R83" s="190">
        <f t="shared" si="42"/>
        <v>739.98884542326891</v>
      </c>
      <c r="S83" s="190">
        <f t="shared" si="42"/>
        <v>783.99087196349865</v>
      </c>
      <c r="T83" s="23"/>
    </row>
    <row r="84" spans="1:20" ht="12.75" x14ac:dyDescent="0.2">
      <c r="A84" s="804"/>
      <c r="B84" s="19"/>
      <c r="C84" s="191" t="s">
        <v>48</v>
      </c>
      <c r="D84" s="192">
        <f t="shared" ref="D84:S84" si="43">D9-D76</f>
        <v>369.99442271163434</v>
      </c>
      <c r="E84" s="192">
        <f t="shared" si="43"/>
        <v>391.99543598174927</v>
      </c>
      <c r="F84" s="192">
        <f t="shared" si="43"/>
        <v>415.30469757994513</v>
      </c>
      <c r="G84" s="192">
        <f t="shared" si="43"/>
        <v>440</v>
      </c>
      <c r="H84" s="192">
        <f t="shared" si="43"/>
        <v>466.16376151808993</v>
      </c>
      <c r="I84" s="192">
        <f t="shared" si="43"/>
        <v>493.88330125612413</v>
      </c>
      <c r="J84" s="192">
        <f t="shared" si="43"/>
        <v>523.25113060119736</v>
      </c>
      <c r="K84" s="192">
        <f t="shared" si="43"/>
        <v>554.36526195374415</v>
      </c>
      <c r="L84" s="192">
        <f t="shared" si="43"/>
        <v>587.32953583481515</v>
      </c>
      <c r="M84" s="192">
        <f t="shared" si="43"/>
        <v>622.25396744416184</v>
      </c>
      <c r="N84" s="192">
        <f t="shared" si="43"/>
        <v>659.25511382573995</v>
      </c>
      <c r="O84" s="192">
        <f t="shared" si="43"/>
        <v>698.45646286600777</v>
      </c>
      <c r="P84" s="192">
        <f t="shared" si="43"/>
        <v>739.98884542326891</v>
      </c>
      <c r="Q84" s="192">
        <f t="shared" si="43"/>
        <v>783.99087196349865</v>
      </c>
      <c r="R84" s="192">
        <f t="shared" si="43"/>
        <v>830.60939515989048</v>
      </c>
      <c r="S84" s="192">
        <f t="shared" si="43"/>
        <v>880</v>
      </c>
      <c r="T84" s="23"/>
    </row>
    <row r="85" spans="1:20" ht="12.75" x14ac:dyDescent="0.2">
      <c r="A85" s="804"/>
      <c r="B85" s="19"/>
      <c r="C85" s="193" t="s">
        <v>51</v>
      </c>
      <c r="D85" s="194">
        <f t="shared" ref="D85:S85" si="44">D11-D77</f>
        <v>391.99543598174927</v>
      </c>
      <c r="E85" s="194">
        <f t="shared" si="44"/>
        <v>415.30469757994513</v>
      </c>
      <c r="F85" s="194">
        <f t="shared" si="44"/>
        <v>440</v>
      </c>
      <c r="G85" s="194">
        <f t="shared" si="44"/>
        <v>466.16376151808993</v>
      </c>
      <c r="H85" s="194">
        <f t="shared" si="44"/>
        <v>493.88330125612413</v>
      </c>
      <c r="I85" s="194">
        <f t="shared" si="44"/>
        <v>523.25113060119736</v>
      </c>
      <c r="J85" s="194">
        <f t="shared" si="44"/>
        <v>554.36526195374415</v>
      </c>
      <c r="K85" s="194">
        <f t="shared" si="44"/>
        <v>587.32953583481515</v>
      </c>
      <c r="L85" s="194">
        <f t="shared" si="44"/>
        <v>622.25396744416184</v>
      </c>
      <c r="M85" s="194">
        <f t="shared" si="44"/>
        <v>659.25511382573995</v>
      </c>
      <c r="N85" s="194">
        <f t="shared" si="44"/>
        <v>698.45646286600777</v>
      </c>
      <c r="O85" s="194">
        <f t="shared" si="44"/>
        <v>739.98884542326891</v>
      </c>
      <c r="P85" s="194">
        <f t="shared" si="44"/>
        <v>783.99087196349865</v>
      </c>
      <c r="Q85" s="194">
        <f t="shared" si="44"/>
        <v>830.60939515989048</v>
      </c>
      <c r="R85" s="194">
        <f t="shared" si="44"/>
        <v>880</v>
      </c>
      <c r="S85" s="194">
        <f t="shared" si="44"/>
        <v>932.32752303617985</v>
      </c>
      <c r="T85" s="23"/>
    </row>
    <row r="86" spans="1:20" ht="12.75" x14ac:dyDescent="0.2">
      <c r="A86" s="804"/>
      <c r="B86" s="19"/>
      <c r="C86" s="195" t="s">
        <v>56</v>
      </c>
      <c r="D86" s="196">
        <f t="shared" ref="D86:S86" si="45">D13-D78</f>
        <v>440</v>
      </c>
      <c r="E86" s="196">
        <f t="shared" si="45"/>
        <v>466.16376151808993</v>
      </c>
      <c r="F86" s="196">
        <f t="shared" si="45"/>
        <v>493.88330125612413</v>
      </c>
      <c r="G86" s="196">
        <f t="shared" si="45"/>
        <v>523.25113060119736</v>
      </c>
      <c r="H86" s="196">
        <f t="shared" si="45"/>
        <v>554.36526195374415</v>
      </c>
      <c r="I86" s="196">
        <f t="shared" si="45"/>
        <v>587.32953583481515</v>
      </c>
      <c r="J86" s="196">
        <f t="shared" si="45"/>
        <v>622.25396744416184</v>
      </c>
      <c r="K86" s="196">
        <f t="shared" si="45"/>
        <v>659.25511382573995</v>
      </c>
      <c r="L86" s="196">
        <f t="shared" si="45"/>
        <v>698.45646286600777</v>
      </c>
      <c r="M86" s="196">
        <f t="shared" si="45"/>
        <v>739.98884542326891</v>
      </c>
      <c r="N86" s="196">
        <f t="shared" si="45"/>
        <v>783.99087196349865</v>
      </c>
      <c r="O86" s="196">
        <f t="shared" si="45"/>
        <v>830.60939515989048</v>
      </c>
      <c r="P86" s="196">
        <f t="shared" si="45"/>
        <v>880</v>
      </c>
      <c r="Q86" s="196">
        <f t="shared" si="45"/>
        <v>932.32752303617985</v>
      </c>
      <c r="R86" s="196">
        <f t="shared" si="45"/>
        <v>987.76660251224848</v>
      </c>
      <c r="S86" s="196">
        <f t="shared" si="45"/>
        <v>1046.5022612023947</v>
      </c>
      <c r="T86" s="23"/>
    </row>
    <row r="87" spans="1:20" ht="12.75" x14ac:dyDescent="0.2">
      <c r="A87" s="805"/>
      <c r="B87" s="56"/>
      <c r="C87" s="198" t="s">
        <v>59</v>
      </c>
      <c r="D87" s="199">
        <f t="shared" ref="D87:S87" si="46">D15-D79</f>
        <v>493.88330125612413</v>
      </c>
      <c r="E87" s="199">
        <f t="shared" si="46"/>
        <v>523.25113060119736</v>
      </c>
      <c r="F87" s="199">
        <f t="shared" si="46"/>
        <v>554.36526195374415</v>
      </c>
      <c r="G87" s="199">
        <f t="shared" si="46"/>
        <v>587.32953583481515</v>
      </c>
      <c r="H87" s="199">
        <f t="shared" si="46"/>
        <v>622.25396744416184</v>
      </c>
      <c r="I87" s="199">
        <f t="shared" si="46"/>
        <v>659.25511382573995</v>
      </c>
      <c r="J87" s="199">
        <f t="shared" si="46"/>
        <v>698.45646286600777</v>
      </c>
      <c r="K87" s="199">
        <f t="shared" si="46"/>
        <v>739.98884542326891</v>
      </c>
      <c r="L87" s="199">
        <f t="shared" si="46"/>
        <v>783.99087196349865</v>
      </c>
      <c r="M87" s="199">
        <f t="shared" si="46"/>
        <v>830.60939515989048</v>
      </c>
      <c r="N87" s="199">
        <f t="shared" si="46"/>
        <v>880</v>
      </c>
      <c r="O87" s="199">
        <f t="shared" si="46"/>
        <v>932.32752303617985</v>
      </c>
      <c r="P87" s="199">
        <f t="shared" si="46"/>
        <v>987.76660251224848</v>
      </c>
      <c r="Q87" s="199">
        <f t="shared" si="46"/>
        <v>1046.5022612023947</v>
      </c>
      <c r="R87" s="199">
        <f t="shared" si="46"/>
        <v>1108.7305239074885</v>
      </c>
      <c r="S87" s="199">
        <f t="shared" si="46"/>
        <v>1174.6590716696305</v>
      </c>
      <c r="T87" s="60"/>
    </row>
    <row r="88" spans="1:20" ht="12.75" x14ac:dyDescent="0.2">
      <c r="A88" s="129"/>
      <c r="B88" s="181"/>
      <c r="C88" s="181"/>
      <c r="L88" s="182"/>
      <c r="M88" s="182"/>
      <c r="N88" s="182"/>
      <c r="O88" s="182"/>
      <c r="P88" s="182"/>
      <c r="Q88" s="182"/>
      <c r="R88" s="182"/>
      <c r="S88" s="182"/>
      <c r="T88" s="183"/>
    </row>
    <row r="89" spans="1:20" ht="12.75" x14ac:dyDescent="0.2">
      <c r="A89" s="129"/>
      <c r="B89" s="181"/>
      <c r="C89" s="181"/>
      <c r="F89" s="806" t="s">
        <v>172</v>
      </c>
      <c r="G89" s="807"/>
      <c r="H89" s="806" t="s">
        <v>173</v>
      </c>
      <c r="I89" s="807"/>
      <c r="J89" s="182"/>
      <c r="K89" s="182"/>
      <c r="L89" s="182"/>
      <c r="M89" s="182"/>
      <c r="N89" s="182"/>
      <c r="O89" s="182"/>
      <c r="P89" s="182"/>
      <c r="Q89" s="182"/>
      <c r="R89" s="182"/>
      <c r="S89" s="182"/>
      <c r="T89" s="183"/>
    </row>
    <row r="90" spans="1:20" ht="51" x14ac:dyDescent="0.2">
      <c r="A90" s="129"/>
      <c r="B90" s="181"/>
      <c r="D90" s="200"/>
      <c r="E90" s="200" t="s">
        <v>174</v>
      </c>
      <c r="F90" s="182" t="s">
        <v>175</v>
      </c>
      <c r="G90" s="182" t="s">
        <v>176</v>
      </c>
      <c r="H90" s="200" t="s">
        <v>175</v>
      </c>
      <c r="I90" s="182" t="s">
        <v>176</v>
      </c>
      <c r="J90" s="201" t="s">
        <v>177</v>
      </c>
      <c r="K90" s="182" t="s">
        <v>178</v>
      </c>
      <c r="L90" s="182" t="s">
        <v>179</v>
      </c>
      <c r="M90" s="182"/>
      <c r="N90" s="182"/>
      <c r="O90" s="182"/>
      <c r="P90" s="182"/>
      <c r="Q90" s="182"/>
      <c r="R90" s="182"/>
      <c r="S90" s="183"/>
    </row>
    <row r="91" spans="1:20" ht="12.75" x14ac:dyDescent="0.2">
      <c r="A91" s="129"/>
      <c r="B91" s="181"/>
      <c r="C91" s="200" t="s">
        <v>180</v>
      </c>
      <c r="D91" s="200"/>
      <c r="E91" s="200">
        <v>51.99</v>
      </c>
      <c r="F91" s="182">
        <v>0.63</v>
      </c>
      <c r="G91" s="182">
        <v>0.90600000000000003</v>
      </c>
      <c r="H91" s="182">
        <v>1.339</v>
      </c>
      <c r="I91" s="182">
        <v>1.6140000000000001</v>
      </c>
      <c r="J91" s="182">
        <v>0.35399999999999998</v>
      </c>
      <c r="K91" s="202" t="s">
        <v>181</v>
      </c>
      <c r="L91" s="203" t="s">
        <v>182</v>
      </c>
      <c r="M91" s="182"/>
      <c r="N91" s="182"/>
      <c r="O91" s="182"/>
      <c r="P91" s="182"/>
      <c r="Q91" s="182"/>
      <c r="R91" s="182"/>
      <c r="S91" s="183"/>
    </row>
    <row r="92" spans="1:20" ht="12.75" x14ac:dyDescent="0.2">
      <c r="A92" s="129"/>
      <c r="B92" s="181"/>
      <c r="C92" s="200" t="s">
        <v>183</v>
      </c>
      <c r="D92" s="200"/>
      <c r="E92" s="200">
        <v>51.99</v>
      </c>
      <c r="F92" s="182">
        <v>1.22</v>
      </c>
      <c r="G92" s="182">
        <v>1.496</v>
      </c>
      <c r="H92" s="182">
        <v>2.008</v>
      </c>
      <c r="I92" s="182">
        <v>2.2829999999999999</v>
      </c>
      <c r="J92" s="182">
        <v>0.35399999999999998</v>
      </c>
      <c r="K92" s="202" t="s">
        <v>181</v>
      </c>
      <c r="L92" s="204" t="s">
        <v>184</v>
      </c>
      <c r="M92" s="182"/>
      <c r="N92" s="182"/>
      <c r="O92" s="182"/>
      <c r="P92" s="182"/>
      <c r="Q92" s="182"/>
      <c r="R92" s="182"/>
      <c r="S92" s="183"/>
    </row>
    <row r="93" spans="1:20" ht="12.75" x14ac:dyDescent="0.2">
      <c r="A93" s="129"/>
      <c r="B93" s="181"/>
      <c r="C93" s="200" t="s">
        <v>185</v>
      </c>
      <c r="D93" s="200"/>
      <c r="E93" s="200">
        <v>51.99</v>
      </c>
      <c r="F93" s="182">
        <v>1.8109999999999999</v>
      </c>
      <c r="G93" s="182">
        <v>2.0870000000000002</v>
      </c>
      <c r="H93" s="182">
        <v>2.68</v>
      </c>
      <c r="I93" s="182">
        <v>2.95</v>
      </c>
      <c r="J93" s="182">
        <v>0.49199999999999999</v>
      </c>
      <c r="K93" s="205" t="s">
        <v>186</v>
      </c>
      <c r="L93" s="203" t="s">
        <v>187</v>
      </c>
      <c r="M93" s="182"/>
      <c r="N93" s="182"/>
      <c r="O93" s="182"/>
      <c r="P93" s="182"/>
      <c r="Q93" s="182"/>
      <c r="R93" s="182"/>
      <c r="S93" s="183"/>
    </row>
    <row r="94" spans="1:20" ht="12.75" x14ac:dyDescent="0.2">
      <c r="A94" s="129"/>
      <c r="B94" s="181"/>
      <c r="C94" s="200" t="s">
        <v>188</v>
      </c>
      <c r="D94" s="200"/>
      <c r="E94" s="200">
        <v>57.99</v>
      </c>
      <c r="F94" s="182">
        <v>2.4</v>
      </c>
      <c r="G94" s="182">
        <v>3.18</v>
      </c>
      <c r="H94" s="182">
        <v>3.3460000000000001</v>
      </c>
      <c r="I94" s="182">
        <v>4.13</v>
      </c>
      <c r="J94" s="182">
        <v>0.49199999999999999</v>
      </c>
      <c r="K94" s="202" t="s">
        <v>181</v>
      </c>
      <c r="L94" s="203" t="s">
        <v>189</v>
      </c>
      <c r="M94" s="182"/>
      <c r="N94" s="182"/>
      <c r="O94" s="182"/>
      <c r="P94" s="182"/>
      <c r="Q94" s="182"/>
      <c r="R94" s="182"/>
      <c r="S94" s="183"/>
    </row>
    <row r="95" spans="1:20" ht="12.75" x14ac:dyDescent="0.2">
      <c r="A95" s="129"/>
      <c r="B95" s="181"/>
      <c r="C95" s="200" t="s">
        <v>190</v>
      </c>
      <c r="D95" s="200"/>
      <c r="E95" s="200">
        <v>57.99</v>
      </c>
      <c r="F95" s="182">
        <v>2.992</v>
      </c>
      <c r="G95" s="182">
        <v>3.77</v>
      </c>
      <c r="H95" s="182">
        <v>4.016</v>
      </c>
      <c r="I95" s="182">
        <v>4.8029999999999999</v>
      </c>
      <c r="J95" s="182" t="s">
        <v>157</v>
      </c>
      <c r="K95" s="202" t="s">
        <v>181</v>
      </c>
      <c r="L95" s="204" t="s">
        <v>191</v>
      </c>
      <c r="M95" s="182"/>
      <c r="N95" s="182"/>
      <c r="O95" s="182"/>
      <c r="P95" s="182"/>
      <c r="Q95" s="182"/>
      <c r="R95" s="182"/>
      <c r="S95" s="183"/>
    </row>
    <row r="96" spans="1:20" ht="12.75" x14ac:dyDescent="0.2">
      <c r="A96" s="129"/>
      <c r="B96" s="181"/>
      <c r="C96" s="200" t="s">
        <v>192</v>
      </c>
      <c r="D96" s="200"/>
      <c r="E96" s="200">
        <v>46</v>
      </c>
      <c r="F96" s="182">
        <v>3.5030000000000001</v>
      </c>
      <c r="G96" s="182">
        <v>4.2910000000000004</v>
      </c>
      <c r="H96" s="182">
        <v>4.6849999999999996</v>
      </c>
      <c r="I96" s="182">
        <v>5.4720000000000004</v>
      </c>
      <c r="J96" s="182" t="s">
        <v>157</v>
      </c>
      <c r="K96" s="202" t="s">
        <v>181</v>
      </c>
      <c r="L96" s="204" t="s">
        <v>193</v>
      </c>
      <c r="M96" s="182"/>
      <c r="N96" s="182"/>
      <c r="O96" s="182"/>
      <c r="P96" s="182"/>
      <c r="Q96" s="182"/>
      <c r="R96" s="182"/>
      <c r="S96" s="183"/>
    </row>
    <row r="97" spans="1:20" ht="12.75" x14ac:dyDescent="0.2">
      <c r="A97" s="129"/>
      <c r="B97" s="181"/>
      <c r="C97" s="200" t="s">
        <v>194</v>
      </c>
      <c r="D97" s="200"/>
      <c r="E97" s="200">
        <v>46</v>
      </c>
      <c r="F97" s="182">
        <v>4.016</v>
      </c>
      <c r="G97" s="182">
        <v>4.8029999999999999</v>
      </c>
      <c r="H97" s="182">
        <v>5.3540000000000001</v>
      </c>
      <c r="I97" s="182">
        <v>6.141</v>
      </c>
      <c r="J97" s="182">
        <v>1</v>
      </c>
      <c r="K97" s="205" t="s">
        <v>186</v>
      </c>
      <c r="L97" s="204" t="s">
        <v>195</v>
      </c>
      <c r="M97" s="182"/>
      <c r="N97" s="182"/>
      <c r="O97" s="182"/>
      <c r="P97" s="182"/>
      <c r="Q97" s="182"/>
      <c r="R97" s="182"/>
      <c r="S97" s="183"/>
    </row>
    <row r="98" spans="1:20" ht="12.75" x14ac:dyDescent="0.2">
      <c r="A98" s="129"/>
      <c r="B98" s="181"/>
      <c r="C98" s="200" t="s">
        <v>196</v>
      </c>
      <c r="D98" s="200"/>
      <c r="E98" s="200">
        <v>41.5</v>
      </c>
      <c r="F98" s="182">
        <v>1.1419999999999999</v>
      </c>
      <c r="G98" s="182">
        <v>1.417</v>
      </c>
      <c r="H98" s="182">
        <v>1.921</v>
      </c>
      <c r="I98" s="182">
        <v>2.1970000000000001</v>
      </c>
      <c r="J98" s="182">
        <v>1</v>
      </c>
      <c r="K98" s="205" t="s">
        <v>186</v>
      </c>
      <c r="L98" s="204" t="s">
        <v>197</v>
      </c>
      <c r="M98" s="182"/>
      <c r="N98" s="182"/>
      <c r="O98" s="182"/>
      <c r="P98" s="182"/>
      <c r="Q98" s="182"/>
      <c r="R98" s="182"/>
      <c r="S98" s="183"/>
    </row>
    <row r="99" spans="1:20" ht="12.75" x14ac:dyDescent="0.2">
      <c r="A99" s="129"/>
      <c r="B99" s="181"/>
      <c r="C99" s="200" t="s">
        <v>198</v>
      </c>
      <c r="D99" s="200"/>
      <c r="E99" s="200">
        <v>41.5</v>
      </c>
      <c r="F99" s="182">
        <v>1.8109999999999999</v>
      </c>
      <c r="G99" s="182">
        <v>2.0870000000000002</v>
      </c>
      <c r="H99" s="182">
        <v>2.5910000000000002</v>
      </c>
      <c r="I99" s="182">
        <v>2.8660000000000001</v>
      </c>
      <c r="J99" s="182">
        <v>1.1200000000000001</v>
      </c>
      <c r="K99" s="202" t="s">
        <v>181</v>
      </c>
      <c r="L99" s="204" t="s">
        <v>199</v>
      </c>
      <c r="M99" s="182"/>
      <c r="N99" s="182"/>
      <c r="O99" s="182"/>
      <c r="P99" s="182"/>
      <c r="Q99" s="182"/>
      <c r="R99" s="182"/>
      <c r="S99" s="183"/>
    </row>
    <row r="100" spans="1:20" ht="12.75" x14ac:dyDescent="0.2">
      <c r="A100" s="129"/>
      <c r="B100" s="181"/>
      <c r="C100" s="200" t="s">
        <v>200</v>
      </c>
      <c r="D100" s="182"/>
      <c r="E100" s="182">
        <v>57.99</v>
      </c>
      <c r="F100" s="182">
        <v>2.48</v>
      </c>
      <c r="G100" s="182">
        <v>3.2669999999999999</v>
      </c>
      <c r="H100" s="182">
        <v>3.26</v>
      </c>
      <c r="I100" s="182">
        <v>4.0469999999999997</v>
      </c>
      <c r="J100" s="182" t="s">
        <v>157</v>
      </c>
      <c r="K100" s="202" t="s">
        <v>181</v>
      </c>
      <c r="L100" s="203" t="s">
        <v>201</v>
      </c>
      <c r="M100" s="182"/>
      <c r="N100" s="182"/>
      <c r="O100" s="182"/>
      <c r="P100" s="182"/>
      <c r="Q100" s="182"/>
      <c r="R100" s="182"/>
      <c r="S100" s="183"/>
    </row>
    <row r="101" spans="1:20" ht="12.75" x14ac:dyDescent="0.2">
      <c r="A101" s="129"/>
      <c r="B101" s="181"/>
      <c r="C101" s="200"/>
      <c r="D101" s="182"/>
      <c r="E101" s="182"/>
      <c r="F101" s="182"/>
      <c r="G101" s="182"/>
      <c r="H101" s="182"/>
      <c r="I101" s="182"/>
      <c r="J101" s="182"/>
      <c r="K101" s="182"/>
      <c r="L101" s="182"/>
      <c r="M101" s="182"/>
      <c r="N101" s="182"/>
      <c r="O101" s="182"/>
      <c r="P101" s="182"/>
      <c r="Q101" s="182"/>
      <c r="R101" s="182"/>
      <c r="S101" s="182"/>
      <c r="T101" s="183"/>
    </row>
    <row r="102" spans="1:20" ht="12.75" x14ac:dyDescent="0.2">
      <c r="A102" s="129"/>
      <c r="B102" s="181"/>
      <c r="C102" s="200"/>
      <c r="D102" s="182"/>
      <c r="E102" s="182"/>
      <c r="F102" s="182"/>
      <c r="G102" s="182"/>
      <c r="H102" s="182"/>
      <c r="I102" s="182"/>
      <c r="J102" s="182"/>
      <c r="K102" s="182"/>
      <c r="L102" s="182"/>
      <c r="M102" s="182"/>
      <c r="N102" s="182"/>
      <c r="O102" s="182"/>
      <c r="P102" s="182"/>
      <c r="Q102" s="182"/>
      <c r="R102" s="182"/>
      <c r="S102" s="182"/>
      <c r="T102" s="183"/>
    </row>
    <row r="103" spans="1:20" ht="12.75" x14ac:dyDescent="0.2">
      <c r="A103" s="129"/>
      <c r="B103" s="181"/>
      <c r="C103" s="200"/>
      <c r="D103" s="182"/>
      <c r="E103" s="182"/>
      <c r="F103" s="182"/>
      <c r="G103" s="182"/>
      <c r="H103" s="182"/>
      <c r="I103" s="182"/>
      <c r="J103" s="182"/>
      <c r="K103" s="182"/>
      <c r="L103" s="182"/>
      <c r="M103" s="182"/>
      <c r="N103" s="182"/>
      <c r="O103" s="182"/>
      <c r="P103" s="182"/>
      <c r="Q103" s="182"/>
      <c r="R103" s="182"/>
      <c r="S103" s="182"/>
      <c r="T103" s="183"/>
    </row>
    <row r="104" spans="1:20" ht="12.75" x14ac:dyDescent="0.2">
      <c r="A104" s="129"/>
      <c r="B104" s="181"/>
      <c r="C104" s="200"/>
      <c r="D104" s="182"/>
      <c r="E104" s="182"/>
      <c r="F104" s="182"/>
      <c r="G104" s="182"/>
      <c r="H104" s="182"/>
      <c r="I104" s="182"/>
      <c r="J104" s="182"/>
      <c r="K104" s="182"/>
      <c r="L104" s="182"/>
      <c r="M104" s="182"/>
      <c r="N104" s="182"/>
      <c r="O104" s="182"/>
      <c r="P104" s="182"/>
      <c r="Q104" s="182"/>
      <c r="R104" s="182"/>
      <c r="S104" s="182"/>
      <c r="T104" s="183"/>
    </row>
    <row r="105" spans="1:20" ht="12.75" x14ac:dyDescent="0.2">
      <c r="A105" s="129"/>
      <c r="B105" s="181"/>
      <c r="C105" s="200"/>
      <c r="D105" s="182"/>
      <c r="E105" s="182"/>
      <c r="F105" s="182"/>
      <c r="G105" s="182"/>
      <c r="H105" s="182"/>
      <c r="I105" s="182"/>
      <c r="J105" s="182"/>
      <c r="K105" s="182"/>
      <c r="L105" s="182"/>
      <c r="M105" s="182"/>
      <c r="N105" s="182"/>
      <c r="O105" s="182"/>
      <c r="P105" s="182"/>
      <c r="Q105" s="182"/>
      <c r="R105" s="182"/>
      <c r="S105" s="182"/>
      <c r="T105" s="183"/>
    </row>
    <row r="106" spans="1:20" ht="12.75" x14ac:dyDescent="0.2">
      <c r="A106" s="129"/>
      <c r="B106" s="181"/>
      <c r="C106" s="200"/>
      <c r="D106" s="182"/>
      <c r="E106" s="182"/>
      <c r="F106" s="182"/>
      <c r="G106" s="182"/>
      <c r="H106" s="182"/>
      <c r="I106" s="182"/>
      <c r="J106" s="182"/>
      <c r="K106" s="182"/>
      <c r="L106" s="182"/>
      <c r="M106" s="182"/>
      <c r="N106" s="182"/>
      <c r="O106" s="182"/>
      <c r="P106" s="182"/>
      <c r="Q106" s="182"/>
      <c r="R106" s="182"/>
      <c r="S106" s="182"/>
      <c r="T106" s="183"/>
    </row>
    <row r="107" spans="1:20" ht="12.75" x14ac:dyDescent="0.2">
      <c r="A107" s="129"/>
      <c r="B107" s="181"/>
      <c r="C107" s="200"/>
      <c r="D107" s="182"/>
      <c r="E107" s="182"/>
      <c r="F107" s="182"/>
      <c r="G107" s="182"/>
      <c r="H107" s="182"/>
      <c r="I107" s="182"/>
      <c r="J107" s="182"/>
      <c r="K107" s="182"/>
      <c r="L107" s="182"/>
      <c r="M107" s="182"/>
      <c r="N107" s="182"/>
      <c r="O107" s="182"/>
      <c r="P107" s="182"/>
      <c r="Q107" s="182"/>
      <c r="R107" s="182"/>
      <c r="S107" s="182"/>
      <c r="T107" s="183"/>
    </row>
    <row r="108" spans="1:20" ht="12.75" x14ac:dyDescent="0.2">
      <c r="A108" s="129"/>
      <c r="B108" s="181"/>
      <c r="C108" s="200"/>
      <c r="D108" s="182"/>
      <c r="E108" s="182"/>
      <c r="F108" s="182"/>
      <c r="G108" s="182"/>
      <c r="H108" s="182"/>
      <c r="I108" s="182"/>
      <c r="J108" s="182"/>
      <c r="K108" s="182"/>
      <c r="L108" s="182"/>
      <c r="M108" s="182"/>
      <c r="N108" s="182"/>
      <c r="O108" s="182"/>
      <c r="P108" s="182"/>
      <c r="Q108" s="182"/>
      <c r="R108" s="182"/>
      <c r="S108" s="182"/>
      <c r="T108" s="183"/>
    </row>
    <row r="109" spans="1:20" ht="12.75" x14ac:dyDescent="0.2">
      <c r="A109" s="129"/>
      <c r="B109" s="181"/>
      <c r="C109" s="200" t="s">
        <v>202</v>
      </c>
      <c r="D109" s="182"/>
      <c r="E109" s="182"/>
      <c r="F109" s="182"/>
      <c r="G109" s="182"/>
      <c r="H109" s="182"/>
      <c r="I109" s="182"/>
      <c r="J109" s="182"/>
      <c r="K109" s="182"/>
      <c r="L109" s="182"/>
      <c r="M109" s="182"/>
      <c r="N109" s="182"/>
      <c r="O109" s="182"/>
      <c r="P109" s="182"/>
      <c r="Q109" s="182"/>
      <c r="R109" s="182"/>
      <c r="S109" s="182"/>
      <c r="T109" s="183"/>
    </row>
    <row r="110" spans="1:20" ht="12.75" x14ac:dyDescent="0.2">
      <c r="A110" s="129"/>
      <c r="B110" s="181"/>
      <c r="C110" s="200"/>
      <c r="D110" s="182"/>
      <c r="E110" s="182"/>
      <c r="F110" s="182"/>
      <c r="G110" s="182"/>
      <c r="H110" s="182"/>
      <c r="I110" s="182"/>
      <c r="J110" s="182"/>
      <c r="K110" s="182"/>
      <c r="L110" s="182"/>
      <c r="M110" s="182"/>
      <c r="N110" s="182"/>
      <c r="O110" s="182"/>
      <c r="P110" s="182"/>
      <c r="Q110" s="182"/>
      <c r="R110" s="182"/>
      <c r="S110" s="182"/>
      <c r="T110" s="183"/>
    </row>
    <row r="111" spans="1:20" ht="12.75" x14ac:dyDescent="0.2">
      <c r="A111" s="129"/>
      <c r="B111" s="181"/>
      <c r="C111" s="200"/>
      <c r="D111" s="182"/>
      <c r="E111" s="182"/>
      <c r="F111" s="182"/>
      <c r="G111" s="182"/>
      <c r="H111" s="182"/>
      <c r="I111" s="182"/>
      <c r="J111" s="182"/>
      <c r="K111" s="182"/>
      <c r="L111" s="182"/>
      <c r="M111" s="182"/>
      <c r="N111" s="182"/>
      <c r="O111" s="182"/>
      <c r="P111" s="182"/>
      <c r="Q111" s="182"/>
      <c r="R111" s="182"/>
      <c r="S111" s="182"/>
      <c r="T111" s="183"/>
    </row>
    <row r="112" spans="1:20" ht="12.75" x14ac:dyDescent="0.2">
      <c r="A112" s="129"/>
      <c r="B112" s="181"/>
      <c r="C112" s="200"/>
      <c r="D112" s="182"/>
      <c r="E112" s="182"/>
      <c r="F112" s="182"/>
      <c r="G112" s="182"/>
      <c r="H112" s="182"/>
      <c r="I112" s="182"/>
      <c r="J112" s="182"/>
      <c r="K112" s="182"/>
      <c r="L112" s="182"/>
      <c r="M112" s="182"/>
      <c r="N112" s="182"/>
      <c r="O112" s="182"/>
      <c r="P112" s="182"/>
      <c r="Q112" s="182"/>
      <c r="R112" s="182"/>
      <c r="S112" s="182"/>
      <c r="T112" s="183"/>
    </row>
    <row r="113" spans="1:20" ht="12.75" x14ac:dyDescent="0.2">
      <c r="A113" s="129"/>
      <c r="B113" s="181"/>
      <c r="C113" s="200"/>
      <c r="D113" s="182"/>
      <c r="E113" s="182"/>
      <c r="F113" s="182"/>
      <c r="G113" s="182"/>
      <c r="H113" s="182"/>
      <c r="I113" s="182"/>
      <c r="J113" s="182"/>
      <c r="K113" s="182"/>
      <c r="L113" s="182"/>
      <c r="M113" s="182"/>
      <c r="N113" s="182"/>
      <c r="O113" s="182"/>
      <c r="P113" s="182"/>
      <c r="Q113" s="182"/>
      <c r="R113" s="182"/>
      <c r="S113" s="182"/>
      <c r="T113" s="183"/>
    </row>
    <row r="114" spans="1:20" ht="12.75" x14ac:dyDescent="0.2">
      <c r="A114" s="129"/>
      <c r="B114" s="181"/>
      <c r="C114" s="200"/>
      <c r="D114" s="182"/>
      <c r="E114" s="182"/>
      <c r="F114" s="182"/>
      <c r="G114" s="182"/>
      <c r="H114" s="182"/>
      <c r="I114" s="182"/>
      <c r="J114" s="182"/>
      <c r="K114" s="182"/>
      <c r="L114" s="182"/>
      <c r="M114" s="182"/>
      <c r="N114" s="182"/>
      <c r="O114" s="182"/>
      <c r="P114" s="182"/>
      <c r="Q114" s="182"/>
      <c r="R114" s="182"/>
      <c r="S114" s="182"/>
      <c r="T114" s="183"/>
    </row>
    <row r="115" spans="1:20" ht="12.75" x14ac:dyDescent="0.2">
      <c r="A115" s="129"/>
      <c r="B115" s="181"/>
      <c r="C115" s="200"/>
      <c r="D115" s="182"/>
      <c r="E115" s="182"/>
      <c r="F115" s="182"/>
      <c r="G115" s="182"/>
      <c r="H115" s="182"/>
      <c r="I115" s="182"/>
      <c r="J115" s="182"/>
      <c r="K115" s="182"/>
      <c r="L115" s="182"/>
      <c r="M115" s="182"/>
      <c r="N115" s="182"/>
      <c r="O115" s="182"/>
      <c r="P115" s="182"/>
      <c r="Q115" s="182"/>
      <c r="R115" s="182"/>
      <c r="S115" s="182"/>
      <c r="T115" s="183"/>
    </row>
    <row r="118" spans="1:20" ht="15" customHeight="1" x14ac:dyDescent="0.25">
      <c r="A118" s="833" t="s">
        <v>7086</v>
      </c>
    </row>
    <row r="119" spans="1:20" ht="15" customHeight="1" x14ac:dyDescent="0.2">
      <c r="A119" s="734" t="s">
        <v>7087</v>
      </c>
    </row>
    <row r="121" spans="1:20" ht="15" customHeight="1" x14ac:dyDescent="0.2">
      <c r="A121" s="609" t="s">
        <v>7088</v>
      </c>
    </row>
    <row r="122" spans="1:20" ht="15" customHeight="1" x14ac:dyDescent="0.2">
      <c r="A122" t="s">
        <v>7089</v>
      </c>
    </row>
    <row r="124" spans="1:20" ht="15" customHeight="1" x14ac:dyDescent="0.2">
      <c r="A124" s="609" t="s">
        <v>7090</v>
      </c>
    </row>
    <row r="125" spans="1:20" ht="15" customHeight="1" x14ac:dyDescent="0.2">
      <c r="A125" t="s">
        <v>7091</v>
      </c>
    </row>
    <row r="126" spans="1:20" ht="15" customHeight="1" x14ac:dyDescent="0.2">
      <c r="A126" t="s">
        <v>7092</v>
      </c>
    </row>
    <row r="128" spans="1:20" ht="15" customHeight="1" x14ac:dyDescent="0.2">
      <c r="A128" s="609" t="s">
        <v>7093</v>
      </c>
    </row>
    <row r="129" spans="1:1" ht="15" customHeight="1" x14ac:dyDescent="0.2">
      <c r="A129" t="s">
        <v>7094</v>
      </c>
    </row>
    <row r="130" spans="1:1" ht="15" customHeight="1" x14ac:dyDescent="0.2">
      <c r="A130" t="s">
        <v>7095</v>
      </c>
    </row>
    <row r="132" spans="1:1" ht="15" customHeight="1" x14ac:dyDescent="0.2">
      <c r="A132" s="609" t="s">
        <v>7096</v>
      </c>
    </row>
    <row r="133" spans="1:1" ht="15" customHeight="1" x14ac:dyDescent="0.2">
      <c r="A133" t="s">
        <v>7097</v>
      </c>
    </row>
    <row r="138" spans="1:1" ht="15" customHeight="1" x14ac:dyDescent="0.25">
      <c r="A138" s="838" t="s">
        <v>7451</v>
      </c>
    </row>
    <row r="139" spans="1:1" ht="15" customHeight="1" x14ac:dyDescent="0.2">
      <c r="A139" s="734" t="s">
        <v>7452</v>
      </c>
    </row>
    <row r="141" spans="1:1" ht="15" customHeight="1" x14ac:dyDescent="0.2">
      <c r="A141" s="839" t="s">
        <v>7453</v>
      </c>
    </row>
    <row r="142" spans="1:1" ht="15" customHeight="1" x14ac:dyDescent="0.2">
      <c r="A142" s="842" t="s">
        <v>7454</v>
      </c>
    </row>
    <row r="143" spans="1:1" ht="15" customHeight="1" x14ac:dyDescent="0.2">
      <c r="A143" t="s">
        <v>7455</v>
      </c>
    </row>
    <row r="144" spans="1:1" ht="15" customHeight="1" x14ac:dyDescent="0.2">
      <c r="A144" t="s">
        <v>7456</v>
      </c>
    </row>
    <row r="146" spans="1:1" ht="15" customHeight="1" x14ac:dyDescent="0.2">
      <c r="A146" s="839" t="s">
        <v>7457</v>
      </c>
    </row>
    <row r="147" spans="1:1" ht="15" customHeight="1" x14ac:dyDescent="0.2">
      <c r="A147" s="842" t="s">
        <v>7458</v>
      </c>
    </row>
    <row r="148" spans="1:1" ht="15" customHeight="1" x14ac:dyDescent="0.2">
      <c r="A148" t="s">
        <v>7459</v>
      </c>
    </row>
  </sheetData>
  <mergeCells count="10">
    <mergeCell ref="T28:T33"/>
    <mergeCell ref="T34:T39"/>
    <mergeCell ref="A41:A71"/>
    <mergeCell ref="T57:T61"/>
    <mergeCell ref="A73:A79"/>
    <mergeCell ref="A81:A87"/>
    <mergeCell ref="F89:G89"/>
    <mergeCell ref="H89:I89"/>
    <mergeCell ref="A3:A15"/>
    <mergeCell ref="A17:A39"/>
  </mergeCells>
  <hyperlinks>
    <hyperlink ref="L91" r:id="rId1" xr:uid="{00000000-0004-0000-0000-000000000000}"/>
    <hyperlink ref="L92" r:id="rId2" xr:uid="{00000000-0004-0000-0000-000001000000}"/>
    <hyperlink ref="L93" r:id="rId3" xr:uid="{00000000-0004-0000-0000-000002000000}"/>
    <hyperlink ref="L94" r:id="rId4" xr:uid="{00000000-0004-0000-0000-000003000000}"/>
    <hyperlink ref="L95" r:id="rId5" xr:uid="{00000000-0004-0000-0000-000004000000}"/>
    <hyperlink ref="L96" r:id="rId6" xr:uid="{00000000-0004-0000-0000-000005000000}"/>
    <hyperlink ref="L97" r:id="rId7" xr:uid="{00000000-0004-0000-0000-000006000000}"/>
    <hyperlink ref="L98" r:id="rId8" xr:uid="{00000000-0004-0000-0000-000007000000}"/>
    <hyperlink ref="L99" r:id="rId9" xr:uid="{00000000-0004-0000-0000-000008000000}"/>
    <hyperlink ref="L100" r:id="rId10" xr:uid="{00000000-0004-0000-0000-000009000000}"/>
  </hyperlinks>
  <printOptions horizontalCentered="1" gridLines="1"/>
  <pageMargins left="0.7" right="0.7" top="0.75" bottom="0.75" header="0" footer="0"/>
  <pageSetup pageOrder="overThenDown" orientation="portrait" cellComments="atEnd"/>
  <rowBreaks count="2" manualBreakCount="2">
    <brk id="1" man="1"/>
    <brk id="61" man="1"/>
  </rowBreaks>
  <colBreaks count="3" manualBreakCount="3">
    <brk id="2" man="1"/>
    <brk id="19" man="1"/>
    <brk id="6" man="1"/>
  </colBreak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989D1-A1C5-4A05-9472-4CFDEED5AF85}">
  <dimension ref="A1:F113"/>
  <sheetViews>
    <sheetView workbookViewId="0">
      <pane ySplit="3" topLeftCell="A4" activePane="bottomLeft" state="frozen"/>
      <selection pane="bottomLeft"/>
    </sheetView>
  </sheetViews>
  <sheetFormatPr defaultRowHeight="12.75" x14ac:dyDescent="0.2"/>
  <cols>
    <col min="1" max="1" width="137.140625" customWidth="1"/>
    <col min="2" max="2" width="38.140625" customWidth="1"/>
    <col min="3" max="3" width="53.28515625" customWidth="1"/>
    <col min="4" max="4" width="26.7109375" customWidth="1"/>
    <col min="5" max="5" width="7.5703125" customWidth="1"/>
    <col min="6" max="6" width="41.85546875" customWidth="1"/>
  </cols>
  <sheetData>
    <row r="1" spans="1:4" ht="18" x14ac:dyDescent="0.25">
      <c r="A1" s="470" t="s">
        <v>2400</v>
      </c>
    </row>
    <row r="2" spans="1:4" x14ac:dyDescent="0.2">
      <c r="A2" s="537" t="s">
        <v>2401</v>
      </c>
    </row>
    <row r="4" spans="1:4" ht="15.75" x14ac:dyDescent="0.25">
      <c r="A4" s="692" t="s">
        <v>1443</v>
      </c>
    </row>
    <row r="5" spans="1:4" x14ac:dyDescent="0.2">
      <c r="A5" s="472" t="s">
        <v>2402</v>
      </c>
      <c r="B5" s="564" t="s">
        <v>2403</v>
      </c>
      <c r="C5" s="598" t="s">
        <v>2404</v>
      </c>
    </row>
    <row r="6" spans="1:4" x14ac:dyDescent="0.2">
      <c r="A6" s="472" t="s">
        <v>2266</v>
      </c>
      <c r="B6" s="564">
        <v>15</v>
      </c>
      <c r="C6" s="598" t="s">
        <v>2405</v>
      </c>
    </row>
    <row r="7" spans="1:4" x14ac:dyDescent="0.2">
      <c r="A7" s="472" t="s">
        <v>2406</v>
      </c>
      <c r="B7" s="564" t="s">
        <v>2407</v>
      </c>
    </row>
    <row r="8" spans="1:4" x14ac:dyDescent="0.2">
      <c r="A8" s="472" t="s">
        <v>2408</v>
      </c>
      <c r="B8" s="564" t="s">
        <v>378</v>
      </c>
    </row>
    <row r="9" spans="1:4" x14ac:dyDescent="0.2">
      <c r="A9" s="472" t="s">
        <v>2273</v>
      </c>
      <c r="B9" s="564" t="s">
        <v>378</v>
      </c>
    </row>
    <row r="10" spans="1:4" x14ac:dyDescent="0.2">
      <c r="A10" s="472" t="s">
        <v>1803</v>
      </c>
      <c r="B10" s="564" t="s">
        <v>2409</v>
      </c>
    </row>
    <row r="11" spans="1:4" x14ac:dyDescent="0.2">
      <c r="A11" s="472" t="s">
        <v>2410</v>
      </c>
      <c r="B11" s="564" t="s">
        <v>2411</v>
      </c>
    </row>
    <row r="13" spans="1:4" ht="15" x14ac:dyDescent="0.25">
      <c r="A13" s="603" t="s">
        <v>2412</v>
      </c>
    </row>
    <row r="14" spans="1:4" x14ac:dyDescent="0.2">
      <c r="A14" s="486"/>
      <c r="B14" s="714" t="s">
        <v>2413</v>
      </c>
      <c r="C14" s="486" t="s">
        <v>2403</v>
      </c>
      <c r="D14" s="486" t="s">
        <v>2414</v>
      </c>
    </row>
    <row r="15" spans="1:4" x14ac:dyDescent="0.2">
      <c r="A15" t="s">
        <v>2415</v>
      </c>
      <c r="B15" t="s">
        <v>2416</v>
      </c>
      <c r="C15" t="s">
        <v>2417</v>
      </c>
      <c r="D15" t="s">
        <v>2418</v>
      </c>
    </row>
    <row r="16" spans="1:4" x14ac:dyDescent="0.2">
      <c r="A16" t="s">
        <v>2419</v>
      </c>
      <c r="B16" t="s">
        <v>2420</v>
      </c>
      <c r="C16" t="s">
        <v>2421</v>
      </c>
      <c r="D16" t="s">
        <v>2422</v>
      </c>
    </row>
    <row r="17" spans="1:6" x14ac:dyDescent="0.2">
      <c r="A17" t="s">
        <v>2423</v>
      </c>
      <c r="B17" t="s">
        <v>2424</v>
      </c>
      <c r="C17" t="s">
        <v>2425</v>
      </c>
      <c r="D17" t="s">
        <v>2426</v>
      </c>
    </row>
    <row r="18" spans="1:6" x14ac:dyDescent="0.2">
      <c r="A18" t="s">
        <v>2427</v>
      </c>
      <c r="B18" t="s">
        <v>2218</v>
      </c>
      <c r="C18" t="s">
        <v>2219</v>
      </c>
      <c r="D18" t="s">
        <v>2220</v>
      </c>
    </row>
    <row r="19" spans="1:6" x14ac:dyDescent="0.2">
      <c r="A19" t="s">
        <v>2428</v>
      </c>
      <c r="B19" t="s">
        <v>2429</v>
      </c>
      <c r="C19" t="s">
        <v>2430</v>
      </c>
      <c r="D19" t="s">
        <v>2431</v>
      </c>
    </row>
    <row r="20" spans="1:6" x14ac:dyDescent="0.2">
      <c r="A20" t="s">
        <v>2432</v>
      </c>
      <c r="B20" t="s">
        <v>2433</v>
      </c>
      <c r="C20" t="s">
        <v>2434</v>
      </c>
      <c r="D20" t="s">
        <v>2435</v>
      </c>
    </row>
    <row r="21" spans="1:6" x14ac:dyDescent="0.2">
      <c r="A21" t="s">
        <v>2436</v>
      </c>
      <c r="B21" s="695">
        <v>46371</v>
      </c>
      <c r="C21" t="s">
        <v>2437</v>
      </c>
      <c r="D21" t="s">
        <v>2438</v>
      </c>
    </row>
    <row r="22" spans="1:6" x14ac:dyDescent="0.2">
      <c r="A22" t="s">
        <v>1824</v>
      </c>
      <c r="B22" t="s">
        <v>2439</v>
      </c>
      <c r="C22" t="s">
        <v>2439</v>
      </c>
      <c r="D22" t="s">
        <v>2440</v>
      </c>
    </row>
    <row r="24" spans="1:6" ht="15.75" x14ac:dyDescent="0.25">
      <c r="A24" s="660" t="s">
        <v>1543</v>
      </c>
    </row>
    <row r="25" spans="1:6" x14ac:dyDescent="0.2">
      <c r="A25" s="484" t="s">
        <v>610</v>
      </c>
      <c r="B25" s="484" t="s">
        <v>1971</v>
      </c>
      <c r="C25" s="484" t="s">
        <v>2287</v>
      </c>
      <c r="D25" s="484" t="s">
        <v>1972</v>
      </c>
      <c r="E25" s="484" t="s">
        <v>1546</v>
      </c>
      <c r="F25" s="484" t="s">
        <v>2</v>
      </c>
    </row>
    <row r="26" spans="1:6" x14ac:dyDescent="0.2">
      <c r="A26">
        <v>1</v>
      </c>
      <c r="B26" t="s">
        <v>2441</v>
      </c>
      <c r="C26" t="s">
        <v>2442</v>
      </c>
      <c r="D26" t="s">
        <v>2443</v>
      </c>
      <c r="E26">
        <v>1</v>
      </c>
      <c r="F26" t="s">
        <v>2444</v>
      </c>
    </row>
    <row r="27" spans="1:6" x14ac:dyDescent="0.2">
      <c r="A27">
        <v>2</v>
      </c>
      <c r="B27" t="s">
        <v>2445</v>
      </c>
      <c r="C27" t="s">
        <v>2446</v>
      </c>
      <c r="D27" t="s">
        <v>2443</v>
      </c>
      <c r="E27">
        <v>1</v>
      </c>
      <c r="F27" t="s">
        <v>2447</v>
      </c>
    </row>
    <row r="28" spans="1:6" x14ac:dyDescent="0.2">
      <c r="A28">
        <v>3</v>
      </c>
      <c r="B28" t="s">
        <v>2448</v>
      </c>
      <c r="C28" t="s">
        <v>2449</v>
      </c>
      <c r="D28" t="s">
        <v>2450</v>
      </c>
      <c r="E28">
        <v>2</v>
      </c>
      <c r="F28" t="s">
        <v>2451</v>
      </c>
    </row>
    <row r="29" spans="1:6" x14ac:dyDescent="0.2">
      <c r="A29">
        <v>4</v>
      </c>
      <c r="B29" t="s">
        <v>2452</v>
      </c>
      <c r="C29" t="s">
        <v>2453</v>
      </c>
      <c r="D29" t="s">
        <v>2454</v>
      </c>
      <c r="E29">
        <v>4</v>
      </c>
      <c r="F29" t="s">
        <v>2455</v>
      </c>
    </row>
    <row r="30" spans="1:6" x14ac:dyDescent="0.2">
      <c r="A30">
        <v>5</v>
      </c>
      <c r="B30" t="s">
        <v>2456</v>
      </c>
      <c r="C30" t="s">
        <v>2457</v>
      </c>
      <c r="D30" t="s">
        <v>2458</v>
      </c>
      <c r="E30">
        <v>1</v>
      </c>
      <c r="F30" t="s">
        <v>2459</v>
      </c>
    </row>
    <row r="31" spans="1:6" x14ac:dyDescent="0.2">
      <c r="A31">
        <v>6</v>
      </c>
      <c r="B31" t="s">
        <v>1803</v>
      </c>
      <c r="C31" t="s">
        <v>2460</v>
      </c>
      <c r="D31" t="s">
        <v>2461</v>
      </c>
      <c r="E31">
        <v>1</v>
      </c>
      <c r="F31" t="s">
        <v>2462</v>
      </c>
    </row>
    <row r="32" spans="1:6" x14ac:dyDescent="0.2">
      <c r="A32">
        <v>7</v>
      </c>
      <c r="B32" t="s">
        <v>2463</v>
      </c>
      <c r="C32" t="s">
        <v>2464</v>
      </c>
      <c r="D32" t="s">
        <v>2465</v>
      </c>
      <c r="E32">
        <v>1</v>
      </c>
      <c r="F32" t="s">
        <v>2466</v>
      </c>
    </row>
    <row r="33" spans="1:6" x14ac:dyDescent="0.2">
      <c r="A33">
        <v>8</v>
      </c>
      <c r="B33" t="s">
        <v>1558</v>
      </c>
      <c r="C33" t="s">
        <v>2460</v>
      </c>
      <c r="D33" t="s">
        <v>2467</v>
      </c>
      <c r="E33">
        <v>1</v>
      </c>
      <c r="F33" t="s">
        <v>2468</v>
      </c>
    </row>
    <row r="34" spans="1:6" x14ac:dyDescent="0.2">
      <c r="A34">
        <v>9</v>
      </c>
      <c r="B34" t="s">
        <v>2469</v>
      </c>
      <c r="C34" t="s">
        <v>2333</v>
      </c>
      <c r="D34" t="s">
        <v>2470</v>
      </c>
      <c r="E34">
        <v>1</v>
      </c>
      <c r="F34" t="s">
        <v>2471</v>
      </c>
    </row>
    <row r="35" spans="1:6" x14ac:dyDescent="0.2">
      <c r="A35">
        <v>10</v>
      </c>
      <c r="B35" t="s">
        <v>1821</v>
      </c>
      <c r="C35" t="s">
        <v>2333</v>
      </c>
      <c r="D35" t="s">
        <v>2472</v>
      </c>
      <c r="E35">
        <v>1</v>
      </c>
      <c r="F35" t="s">
        <v>2473</v>
      </c>
    </row>
    <row r="36" spans="1:6" x14ac:dyDescent="0.2">
      <c r="A36">
        <v>11</v>
      </c>
      <c r="B36" t="s">
        <v>1561</v>
      </c>
      <c r="C36" t="s">
        <v>2474</v>
      </c>
      <c r="D36" t="s">
        <v>2475</v>
      </c>
      <c r="E36">
        <v>4</v>
      </c>
      <c r="F36" t="s">
        <v>2476</v>
      </c>
    </row>
    <row r="37" spans="1:6" x14ac:dyDescent="0.2">
      <c r="A37">
        <v>12</v>
      </c>
      <c r="B37" t="s">
        <v>1824</v>
      </c>
      <c r="C37" t="s">
        <v>2477</v>
      </c>
      <c r="D37" t="s">
        <v>2478</v>
      </c>
      <c r="E37">
        <v>1</v>
      </c>
      <c r="F37" t="s">
        <v>2479</v>
      </c>
    </row>
    <row r="38" spans="1:6" x14ac:dyDescent="0.2">
      <c r="A38">
        <v>13</v>
      </c>
      <c r="B38" t="s">
        <v>2480</v>
      </c>
      <c r="C38" t="s">
        <v>2481</v>
      </c>
      <c r="D38" t="s">
        <v>2482</v>
      </c>
      <c r="E38">
        <v>1</v>
      </c>
      <c r="F38" t="s">
        <v>2483</v>
      </c>
    </row>
    <row r="39" spans="1:6" x14ac:dyDescent="0.2">
      <c r="A39">
        <v>14</v>
      </c>
      <c r="B39" t="s">
        <v>2484</v>
      </c>
      <c r="C39" t="s">
        <v>2485</v>
      </c>
      <c r="D39" t="s">
        <v>2486</v>
      </c>
      <c r="E39">
        <v>6</v>
      </c>
      <c r="F39" t="s">
        <v>2487</v>
      </c>
    </row>
    <row r="40" spans="1:6" x14ac:dyDescent="0.2">
      <c r="A40">
        <v>15</v>
      </c>
      <c r="B40" t="s">
        <v>1785</v>
      </c>
      <c r="C40" t="s">
        <v>2488</v>
      </c>
      <c r="D40" t="s">
        <v>2489</v>
      </c>
      <c r="E40">
        <v>1</v>
      </c>
      <c r="F40" t="s">
        <v>2490</v>
      </c>
    </row>
    <row r="42" spans="1:6" ht="15.75" x14ac:dyDescent="0.25">
      <c r="A42" s="667" t="s">
        <v>1849</v>
      </c>
    </row>
    <row r="43" spans="1:6" x14ac:dyDescent="0.2">
      <c r="A43" s="713" t="s">
        <v>1622</v>
      </c>
      <c r="B43" s="713" t="s">
        <v>1624</v>
      </c>
      <c r="C43" s="713" t="s">
        <v>2045</v>
      </c>
    </row>
    <row r="44" spans="1:6" x14ac:dyDescent="0.2">
      <c r="A44">
        <v>1</v>
      </c>
      <c r="B44" t="s">
        <v>2491</v>
      </c>
      <c r="C44" t="s">
        <v>2492</v>
      </c>
    </row>
    <row r="45" spans="1:6" x14ac:dyDescent="0.2">
      <c r="A45">
        <v>2</v>
      </c>
      <c r="B45" t="s">
        <v>2493</v>
      </c>
      <c r="C45" t="s">
        <v>2494</v>
      </c>
    </row>
    <row r="46" spans="1:6" x14ac:dyDescent="0.2">
      <c r="A46">
        <v>3</v>
      </c>
      <c r="B46" t="s">
        <v>2495</v>
      </c>
      <c r="C46" t="s">
        <v>2496</v>
      </c>
    </row>
    <row r="47" spans="1:6" x14ac:dyDescent="0.2">
      <c r="A47">
        <v>4</v>
      </c>
      <c r="B47" t="s">
        <v>2497</v>
      </c>
      <c r="C47" t="s">
        <v>2498</v>
      </c>
    </row>
    <row r="48" spans="1:6" x14ac:dyDescent="0.2">
      <c r="A48">
        <v>5</v>
      </c>
      <c r="B48" t="s">
        <v>2499</v>
      </c>
      <c r="C48" t="s">
        <v>2500</v>
      </c>
    </row>
    <row r="49" spans="1:3" x14ac:dyDescent="0.2">
      <c r="A49">
        <v>6</v>
      </c>
      <c r="B49" t="s">
        <v>2501</v>
      </c>
      <c r="C49" t="s">
        <v>2502</v>
      </c>
    </row>
    <row r="50" spans="1:3" x14ac:dyDescent="0.2">
      <c r="A50">
        <v>7</v>
      </c>
      <c r="B50" t="s">
        <v>2503</v>
      </c>
      <c r="C50" t="s">
        <v>2504</v>
      </c>
    </row>
    <row r="51" spans="1:3" x14ac:dyDescent="0.2">
      <c r="A51">
        <v>8</v>
      </c>
      <c r="B51" t="s">
        <v>2505</v>
      </c>
      <c r="C51" t="s">
        <v>2506</v>
      </c>
    </row>
    <row r="52" spans="1:3" x14ac:dyDescent="0.2">
      <c r="A52">
        <v>9</v>
      </c>
      <c r="B52" t="s">
        <v>2507</v>
      </c>
      <c r="C52" t="s">
        <v>2508</v>
      </c>
    </row>
    <row r="53" spans="1:3" x14ac:dyDescent="0.2">
      <c r="A53">
        <v>10</v>
      </c>
      <c r="B53" t="s">
        <v>2509</v>
      </c>
      <c r="C53" t="s">
        <v>2510</v>
      </c>
    </row>
    <row r="54" spans="1:3" x14ac:dyDescent="0.2">
      <c r="A54">
        <v>11</v>
      </c>
      <c r="B54" t="s">
        <v>2511</v>
      </c>
      <c r="C54" t="s">
        <v>2512</v>
      </c>
    </row>
    <row r="55" spans="1:3" x14ac:dyDescent="0.2">
      <c r="A55">
        <v>12</v>
      </c>
      <c r="B55" t="s">
        <v>2513</v>
      </c>
      <c r="C55" t="s">
        <v>2514</v>
      </c>
    </row>
    <row r="56" spans="1:3" x14ac:dyDescent="0.2">
      <c r="A56">
        <v>13</v>
      </c>
      <c r="B56" t="s">
        <v>2515</v>
      </c>
      <c r="C56" t="s">
        <v>2516</v>
      </c>
    </row>
    <row r="57" spans="1:3" x14ac:dyDescent="0.2">
      <c r="A57">
        <v>14</v>
      </c>
      <c r="B57" t="s">
        <v>2517</v>
      </c>
      <c r="C57" t="s">
        <v>2518</v>
      </c>
    </row>
    <row r="58" spans="1:3" x14ac:dyDescent="0.2">
      <c r="A58">
        <v>15</v>
      </c>
      <c r="B58" t="s">
        <v>2519</v>
      </c>
      <c r="C58" t="s">
        <v>2520</v>
      </c>
    </row>
    <row r="59" spans="1:3" x14ac:dyDescent="0.2">
      <c r="A59">
        <v>16</v>
      </c>
      <c r="B59" t="s">
        <v>2521</v>
      </c>
      <c r="C59" t="s">
        <v>2522</v>
      </c>
    </row>
    <row r="60" spans="1:3" x14ac:dyDescent="0.2">
      <c r="A60">
        <v>17</v>
      </c>
      <c r="B60" t="s">
        <v>1899</v>
      </c>
      <c r="C60" t="s">
        <v>2523</v>
      </c>
    </row>
    <row r="61" spans="1:3" x14ac:dyDescent="0.2">
      <c r="A61">
        <v>18</v>
      </c>
      <c r="B61" t="s">
        <v>2524</v>
      </c>
      <c r="C61" t="s">
        <v>2525</v>
      </c>
    </row>
    <row r="62" spans="1:3" x14ac:dyDescent="0.2">
      <c r="A62">
        <v>19</v>
      </c>
      <c r="B62" t="s">
        <v>2526</v>
      </c>
      <c r="C62" t="s">
        <v>2527</v>
      </c>
    </row>
    <row r="63" spans="1:3" x14ac:dyDescent="0.2">
      <c r="A63">
        <v>20</v>
      </c>
      <c r="B63" t="s">
        <v>2390</v>
      </c>
      <c r="C63" t="s">
        <v>2528</v>
      </c>
    </row>
    <row r="64" spans="1:3" x14ac:dyDescent="0.2">
      <c r="A64">
        <v>21</v>
      </c>
      <c r="B64" t="s">
        <v>2529</v>
      </c>
      <c r="C64" t="s">
        <v>2530</v>
      </c>
    </row>
    <row r="65" spans="1:3" x14ac:dyDescent="0.2">
      <c r="A65">
        <v>22</v>
      </c>
      <c r="B65" t="s">
        <v>2531</v>
      </c>
      <c r="C65" t="s">
        <v>2532</v>
      </c>
    </row>
    <row r="68" spans="1:3" ht="18" x14ac:dyDescent="0.25">
      <c r="A68" s="833" t="s">
        <v>6822</v>
      </c>
    </row>
    <row r="69" spans="1:3" x14ac:dyDescent="0.2">
      <c r="A69" s="734" t="s">
        <v>6823</v>
      </c>
    </row>
    <row r="71" spans="1:3" x14ac:dyDescent="0.2">
      <c r="A71" s="609" t="s">
        <v>6355</v>
      </c>
    </row>
    <row r="72" spans="1:3" x14ac:dyDescent="0.2">
      <c r="A72" t="s">
        <v>6824</v>
      </c>
    </row>
    <row r="73" spans="1:3" x14ac:dyDescent="0.2">
      <c r="A73" s="759" t="s">
        <v>6825</v>
      </c>
    </row>
    <row r="74" spans="1:3" x14ac:dyDescent="0.2">
      <c r="A74" t="s">
        <v>6826</v>
      </c>
    </row>
    <row r="76" spans="1:3" x14ac:dyDescent="0.2">
      <c r="A76" s="609" t="s">
        <v>6359</v>
      </c>
    </row>
    <row r="77" spans="1:3" x14ac:dyDescent="0.2">
      <c r="A77" t="s">
        <v>6827</v>
      </c>
    </row>
    <row r="78" spans="1:3" x14ac:dyDescent="0.2">
      <c r="A78" t="s">
        <v>6828</v>
      </c>
    </row>
    <row r="79" spans="1:3" x14ac:dyDescent="0.2">
      <c r="A79" t="s">
        <v>6829</v>
      </c>
    </row>
    <row r="81" spans="1:1" x14ac:dyDescent="0.2">
      <c r="A81" s="609" t="s">
        <v>6830</v>
      </c>
    </row>
    <row r="82" spans="1:1" x14ac:dyDescent="0.2">
      <c r="A82" t="s">
        <v>6831</v>
      </c>
    </row>
    <row r="83" spans="1:1" x14ac:dyDescent="0.2">
      <c r="A83" t="s">
        <v>6832</v>
      </c>
    </row>
    <row r="84" spans="1:1" x14ac:dyDescent="0.2">
      <c r="A84" t="s">
        <v>6833</v>
      </c>
    </row>
    <row r="86" spans="1:1" x14ac:dyDescent="0.2">
      <c r="A86" s="609" t="s">
        <v>6658</v>
      </c>
    </row>
    <row r="87" spans="1:1" x14ac:dyDescent="0.2">
      <c r="A87" t="s">
        <v>6834</v>
      </c>
    </row>
    <row r="88" spans="1:1" x14ac:dyDescent="0.2">
      <c r="A88" t="s">
        <v>6835</v>
      </c>
    </row>
    <row r="90" spans="1:1" x14ac:dyDescent="0.2">
      <c r="A90" s="609" t="s">
        <v>6661</v>
      </c>
    </row>
    <row r="91" spans="1:1" x14ac:dyDescent="0.2">
      <c r="A91" t="s">
        <v>6493</v>
      </c>
    </row>
    <row r="92" spans="1:1" x14ac:dyDescent="0.2">
      <c r="A92" t="s">
        <v>6836</v>
      </c>
    </row>
    <row r="93" spans="1:1" x14ac:dyDescent="0.2">
      <c r="A93" t="s">
        <v>6837</v>
      </c>
    </row>
    <row r="95" spans="1:1" x14ac:dyDescent="0.2">
      <c r="A95" s="609" t="s">
        <v>6682</v>
      </c>
    </row>
    <row r="96" spans="1:1" x14ac:dyDescent="0.2">
      <c r="A96" t="s">
        <v>6838</v>
      </c>
    </row>
    <row r="100" spans="1:1" ht="18" x14ac:dyDescent="0.25">
      <c r="A100" s="838" t="s">
        <v>7323</v>
      </c>
    </row>
    <row r="101" spans="1:1" x14ac:dyDescent="0.2">
      <c r="A101" s="734" t="s">
        <v>7246</v>
      </c>
    </row>
    <row r="103" spans="1:1" x14ac:dyDescent="0.2">
      <c r="A103" s="839" t="s">
        <v>7247</v>
      </c>
    </row>
    <row r="104" spans="1:1" x14ac:dyDescent="0.2">
      <c r="A104" s="842" t="s">
        <v>7324</v>
      </c>
    </row>
    <row r="105" spans="1:1" x14ac:dyDescent="0.2">
      <c r="A105" t="s">
        <v>7325</v>
      </c>
    </row>
    <row r="106" spans="1:1" x14ac:dyDescent="0.2">
      <c r="A106" t="s">
        <v>7326</v>
      </c>
    </row>
    <row r="108" spans="1:1" x14ac:dyDescent="0.2">
      <c r="A108" s="839" t="s">
        <v>7327</v>
      </c>
    </row>
    <row r="109" spans="1:1" x14ac:dyDescent="0.2">
      <c r="A109" s="842" t="s">
        <v>7328</v>
      </c>
    </row>
    <row r="110" spans="1:1" x14ac:dyDescent="0.2">
      <c r="A110" t="s">
        <v>7329</v>
      </c>
    </row>
    <row r="112" spans="1:1" x14ac:dyDescent="0.2">
      <c r="A112" s="839" t="s">
        <v>7321</v>
      </c>
    </row>
    <row r="113" spans="1:1" x14ac:dyDescent="0.2">
      <c r="A113" t="s">
        <v>7330</v>
      </c>
    </row>
  </sheetData>
  <pageMargins left="0.7" right="0.7" top="0.75" bottom="0.75" header="0.3" footer="0.3"/>
  <legacy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2E027-31BD-4CC6-823E-877B66F47FBC}">
  <dimension ref="A1:F109"/>
  <sheetViews>
    <sheetView workbookViewId="0">
      <pane ySplit="3" topLeftCell="A4" activePane="bottomLeft" state="frozen"/>
      <selection pane="bottomLeft"/>
    </sheetView>
  </sheetViews>
  <sheetFormatPr defaultRowHeight="12.75" x14ac:dyDescent="0.2"/>
  <cols>
    <col min="1" max="1" width="137.140625" customWidth="1"/>
    <col min="2" max="2" width="38.140625" customWidth="1"/>
    <col min="3" max="3" width="53.28515625" customWidth="1"/>
    <col min="4" max="4" width="26.7109375" customWidth="1"/>
    <col min="5" max="5" width="7.5703125" customWidth="1"/>
    <col min="6" max="6" width="41.85546875" customWidth="1"/>
  </cols>
  <sheetData>
    <row r="1" spans="1:3" ht="18" x14ac:dyDescent="0.25">
      <c r="A1" s="470" t="s">
        <v>2533</v>
      </c>
    </row>
    <row r="2" spans="1:3" x14ac:dyDescent="0.2">
      <c r="A2" s="537" t="s">
        <v>2534</v>
      </c>
    </row>
    <row r="4" spans="1:3" ht="15.75" x14ac:dyDescent="0.25">
      <c r="A4" s="692" t="s">
        <v>1443</v>
      </c>
    </row>
    <row r="5" spans="1:3" x14ac:dyDescent="0.2">
      <c r="A5" s="472" t="s">
        <v>2402</v>
      </c>
      <c r="B5" s="564" t="s">
        <v>2535</v>
      </c>
      <c r="C5" s="598" t="s">
        <v>2536</v>
      </c>
    </row>
    <row r="6" spans="1:3" x14ac:dyDescent="0.2">
      <c r="A6" s="472" t="s">
        <v>1125</v>
      </c>
      <c r="B6" s="564">
        <v>14</v>
      </c>
      <c r="C6" s="598" t="s">
        <v>2537</v>
      </c>
    </row>
    <row r="7" spans="1:3" x14ac:dyDescent="0.2">
      <c r="A7" s="472" t="s">
        <v>2538</v>
      </c>
      <c r="B7" s="564">
        <v>12.8</v>
      </c>
      <c r="C7" s="598" t="s">
        <v>2539</v>
      </c>
    </row>
    <row r="8" spans="1:3" x14ac:dyDescent="0.2">
      <c r="A8" s="472" t="s">
        <v>2540</v>
      </c>
      <c r="B8" s="564" t="s">
        <v>2541</v>
      </c>
    </row>
    <row r="9" spans="1:3" x14ac:dyDescent="0.2">
      <c r="A9" s="472" t="s">
        <v>2542</v>
      </c>
      <c r="B9" s="564" t="s">
        <v>2543</v>
      </c>
    </row>
    <row r="10" spans="1:3" x14ac:dyDescent="0.2">
      <c r="A10" s="472" t="s">
        <v>2273</v>
      </c>
      <c r="B10" s="564" t="s">
        <v>618</v>
      </c>
    </row>
    <row r="11" spans="1:3" x14ac:dyDescent="0.2">
      <c r="A11" s="472" t="s">
        <v>1803</v>
      </c>
      <c r="B11" s="564" t="s">
        <v>2544</v>
      </c>
    </row>
    <row r="12" spans="1:3" x14ac:dyDescent="0.2">
      <c r="A12" s="472" t="s">
        <v>2545</v>
      </c>
      <c r="B12" s="715">
        <v>0.59</v>
      </c>
      <c r="C12" s="598" t="s">
        <v>2546</v>
      </c>
    </row>
    <row r="13" spans="1:3" x14ac:dyDescent="0.2">
      <c r="A13" s="472" t="s">
        <v>2547</v>
      </c>
      <c r="B13" s="715">
        <v>0.55000000000000004</v>
      </c>
      <c r="C13" s="598" t="s">
        <v>2548</v>
      </c>
    </row>
    <row r="15" spans="1:3" x14ac:dyDescent="0.2">
      <c r="A15" s="691" t="s">
        <v>2549</v>
      </c>
    </row>
    <row r="16" spans="1:3" x14ac:dyDescent="0.2">
      <c r="A16" s="716" t="s">
        <v>2550</v>
      </c>
    </row>
    <row r="17" spans="1:6" x14ac:dyDescent="0.2">
      <c r="A17" s="717" t="s">
        <v>2551</v>
      </c>
    </row>
    <row r="19" spans="1:6" ht="15.75" x14ac:dyDescent="0.25">
      <c r="A19" s="660" t="s">
        <v>1543</v>
      </c>
    </row>
    <row r="20" spans="1:6" x14ac:dyDescent="0.2">
      <c r="A20" s="484" t="s">
        <v>610</v>
      </c>
      <c r="B20" s="484" t="s">
        <v>1971</v>
      </c>
      <c r="C20" s="484" t="s">
        <v>2287</v>
      </c>
      <c r="D20" s="484" t="s">
        <v>1972</v>
      </c>
      <c r="E20" s="484" t="s">
        <v>1546</v>
      </c>
      <c r="F20" s="484" t="s">
        <v>2</v>
      </c>
    </row>
    <row r="21" spans="1:6" x14ac:dyDescent="0.2">
      <c r="A21">
        <v>1</v>
      </c>
      <c r="B21" t="s">
        <v>2552</v>
      </c>
      <c r="C21" t="s">
        <v>2553</v>
      </c>
      <c r="D21" t="s">
        <v>2554</v>
      </c>
      <c r="E21">
        <v>1</v>
      </c>
      <c r="F21" t="s">
        <v>2555</v>
      </c>
    </row>
    <row r="22" spans="1:6" x14ac:dyDescent="0.2">
      <c r="A22">
        <v>2</v>
      </c>
      <c r="B22" t="s">
        <v>2445</v>
      </c>
      <c r="C22" t="s">
        <v>2556</v>
      </c>
      <c r="D22" t="s">
        <v>2554</v>
      </c>
      <c r="E22">
        <v>1</v>
      </c>
      <c r="F22" t="s">
        <v>2557</v>
      </c>
    </row>
    <row r="23" spans="1:6" x14ac:dyDescent="0.2">
      <c r="A23">
        <v>3</v>
      </c>
      <c r="B23" t="s">
        <v>2558</v>
      </c>
      <c r="C23" t="s">
        <v>2559</v>
      </c>
      <c r="D23" t="s">
        <v>2560</v>
      </c>
      <c r="E23">
        <v>6</v>
      </c>
      <c r="F23" t="s">
        <v>2561</v>
      </c>
    </row>
    <row r="24" spans="1:6" x14ac:dyDescent="0.2">
      <c r="A24">
        <v>4</v>
      </c>
      <c r="B24" t="s">
        <v>2562</v>
      </c>
      <c r="C24" t="s">
        <v>618</v>
      </c>
      <c r="D24" t="s">
        <v>2563</v>
      </c>
      <c r="E24">
        <v>1</v>
      </c>
      <c r="F24" t="s">
        <v>2564</v>
      </c>
    </row>
    <row r="25" spans="1:6" x14ac:dyDescent="0.2">
      <c r="A25">
        <v>5</v>
      </c>
      <c r="B25" t="s">
        <v>1803</v>
      </c>
      <c r="C25" t="s">
        <v>2544</v>
      </c>
      <c r="D25" t="s">
        <v>2565</v>
      </c>
      <c r="E25">
        <v>1</v>
      </c>
      <c r="F25" t="s">
        <v>2566</v>
      </c>
    </row>
    <row r="26" spans="1:6" x14ac:dyDescent="0.2">
      <c r="A26">
        <v>6</v>
      </c>
      <c r="B26" t="s">
        <v>2567</v>
      </c>
      <c r="C26" t="s">
        <v>2568</v>
      </c>
      <c r="D26" t="s">
        <v>2569</v>
      </c>
      <c r="E26">
        <v>1</v>
      </c>
      <c r="F26" t="s">
        <v>2570</v>
      </c>
    </row>
    <row r="27" spans="1:6" x14ac:dyDescent="0.2">
      <c r="A27">
        <v>7</v>
      </c>
      <c r="B27" t="s">
        <v>2571</v>
      </c>
      <c r="C27" t="s">
        <v>2572</v>
      </c>
      <c r="D27" t="s">
        <v>2573</v>
      </c>
      <c r="E27">
        <v>1</v>
      </c>
      <c r="F27" t="s">
        <v>2574</v>
      </c>
    </row>
    <row r="28" spans="1:6" x14ac:dyDescent="0.2">
      <c r="A28">
        <v>8</v>
      </c>
      <c r="B28" t="s">
        <v>2575</v>
      </c>
      <c r="C28" t="s">
        <v>2576</v>
      </c>
      <c r="D28" t="s">
        <v>2342</v>
      </c>
      <c r="E28">
        <v>6</v>
      </c>
      <c r="F28" t="s">
        <v>2577</v>
      </c>
    </row>
    <row r="29" spans="1:6" x14ac:dyDescent="0.2">
      <c r="A29">
        <v>9</v>
      </c>
      <c r="B29" t="s">
        <v>2578</v>
      </c>
      <c r="C29" t="s">
        <v>2579</v>
      </c>
      <c r="D29" t="s">
        <v>2580</v>
      </c>
      <c r="E29">
        <v>12</v>
      </c>
      <c r="F29" t="s">
        <v>2581</v>
      </c>
    </row>
    <row r="30" spans="1:6" x14ac:dyDescent="0.2">
      <c r="A30">
        <v>10</v>
      </c>
      <c r="B30" t="s">
        <v>1558</v>
      </c>
      <c r="C30" t="s">
        <v>2582</v>
      </c>
      <c r="D30" t="s">
        <v>2583</v>
      </c>
      <c r="E30">
        <v>1</v>
      </c>
      <c r="F30" t="s">
        <v>2584</v>
      </c>
    </row>
    <row r="31" spans="1:6" x14ac:dyDescent="0.2">
      <c r="A31">
        <v>11</v>
      </c>
      <c r="B31" t="s">
        <v>1807</v>
      </c>
      <c r="C31" t="s">
        <v>2585</v>
      </c>
      <c r="D31" t="s">
        <v>2586</v>
      </c>
      <c r="E31">
        <v>4</v>
      </c>
      <c r="F31" t="s">
        <v>2587</v>
      </c>
    </row>
    <row r="32" spans="1:6" x14ac:dyDescent="0.2">
      <c r="A32">
        <v>12</v>
      </c>
      <c r="B32" t="s">
        <v>1812</v>
      </c>
      <c r="C32" t="s">
        <v>2588</v>
      </c>
      <c r="D32" t="s">
        <v>2589</v>
      </c>
      <c r="E32">
        <v>1</v>
      </c>
      <c r="F32" t="s">
        <v>2590</v>
      </c>
    </row>
    <row r="33" spans="1:6" x14ac:dyDescent="0.2">
      <c r="A33">
        <v>13</v>
      </c>
      <c r="B33" t="s">
        <v>2591</v>
      </c>
      <c r="C33" t="s">
        <v>2585</v>
      </c>
      <c r="D33" t="s">
        <v>1566</v>
      </c>
      <c r="E33">
        <v>1</v>
      </c>
      <c r="F33" t="s">
        <v>2592</v>
      </c>
    </row>
    <row r="34" spans="1:6" x14ac:dyDescent="0.2">
      <c r="A34">
        <v>14</v>
      </c>
      <c r="B34" t="s">
        <v>2593</v>
      </c>
      <c r="C34" t="s">
        <v>2544</v>
      </c>
      <c r="D34" t="s">
        <v>2594</v>
      </c>
      <c r="E34">
        <v>1</v>
      </c>
      <c r="F34" t="s">
        <v>2595</v>
      </c>
    </row>
    <row r="35" spans="1:6" x14ac:dyDescent="0.2">
      <c r="A35">
        <v>15</v>
      </c>
      <c r="B35" t="s">
        <v>2596</v>
      </c>
      <c r="C35" t="s">
        <v>2597</v>
      </c>
      <c r="D35" t="s">
        <v>2598</v>
      </c>
      <c r="E35">
        <v>1</v>
      </c>
      <c r="F35" t="s">
        <v>2599</v>
      </c>
    </row>
    <row r="36" spans="1:6" x14ac:dyDescent="0.2">
      <c r="A36">
        <v>16</v>
      </c>
      <c r="B36" t="s">
        <v>1821</v>
      </c>
      <c r="C36" t="s">
        <v>2544</v>
      </c>
      <c r="D36" t="s">
        <v>2600</v>
      </c>
      <c r="E36">
        <v>1</v>
      </c>
      <c r="F36" t="s">
        <v>2601</v>
      </c>
    </row>
    <row r="37" spans="1:6" x14ac:dyDescent="0.2">
      <c r="A37">
        <v>17</v>
      </c>
      <c r="B37" t="s">
        <v>1824</v>
      </c>
      <c r="C37" t="s">
        <v>2602</v>
      </c>
      <c r="D37" t="s">
        <v>2603</v>
      </c>
      <c r="E37">
        <v>1</v>
      </c>
      <c r="F37" t="s">
        <v>2604</v>
      </c>
    </row>
    <row r="38" spans="1:6" x14ac:dyDescent="0.2">
      <c r="A38">
        <v>18</v>
      </c>
      <c r="B38" t="s">
        <v>2469</v>
      </c>
      <c r="C38" t="s">
        <v>2544</v>
      </c>
      <c r="D38" t="s">
        <v>2605</v>
      </c>
      <c r="E38">
        <v>1</v>
      </c>
      <c r="F38" t="s">
        <v>2606</v>
      </c>
    </row>
    <row r="39" spans="1:6" x14ac:dyDescent="0.2">
      <c r="A39">
        <v>19</v>
      </c>
      <c r="B39" t="s">
        <v>2607</v>
      </c>
      <c r="C39" t="s">
        <v>2608</v>
      </c>
      <c r="D39" t="s">
        <v>2609</v>
      </c>
      <c r="E39">
        <v>4</v>
      </c>
      <c r="F39" t="s">
        <v>2610</v>
      </c>
    </row>
    <row r="40" spans="1:6" x14ac:dyDescent="0.2">
      <c r="A40">
        <v>20</v>
      </c>
      <c r="B40" t="s">
        <v>2611</v>
      </c>
      <c r="C40" t="s">
        <v>2612</v>
      </c>
      <c r="D40" t="s">
        <v>2349</v>
      </c>
      <c r="E40">
        <v>1</v>
      </c>
      <c r="F40" t="s">
        <v>2613</v>
      </c>
    </row>
    <row r="42" spans="1:6" ht="15.75" x14ac:dyDescent="0.25">
      <c r="A42" s="667" t="s">
        <v>1849</v>
      </c>
    </row>
    <row r="43" spans="1:6" x14ac:dyDescent="0.2">
      <c r="A43" s="713" t="s">
        <v>1622</v>
      </c>
      <c r="B43" s="713" t="s">
        <v>2614</v>
      </c>
      <c r="C43" s="713" t="s">
        <v>2045</v>
      </c>
    </row>
    <row r="44" spans="1:6" x14ac:dyDescent="0.2">
      <c r="B44" s="486" t="s">
        <v>2615</v>
      </c>
    </row>
    <row r="45" spans="1:6" x14ac:dyDescent="0.2">
      <c r="A45">
        <v>1</v>
      </c>
      <c r="B45" t="s">
        <v>2616</v>
      </c>
      <c r="C45" t="s">
        <v>2617</v>
      </c>
    </row>
    <row r="46" spans="1:6" x14ac:dyDescent="0.2">
      <c r="A46">
        <v>2</v>
      </c>
      <c r="B46" t="s">
        <v>2618</v>
      </c>
      <c r="C46" t="s">
        <v>2619</v>
      </c>
    </row>
    <row r="47" spans="1:6" x14ac:dyDescent="0.2">
      <c r="A47">
        <v>3</v>
      </c>
      <c r="B47" t="s">
        <v>2620</v>
      </c>
      <c r="C47" t="s">
        <v>2621</v>
      </c>
    </row>
    <row r="48" spans="1:6" x14ac:dyDescent="0.2">
      <c r="A48">
        <v>4</v>
      </c>
      <c r="B48" t="s">
        <v>2622</v>
      </c>
      <c r="C48" t="s">
        <v>2623</v>
      </c>
    </row>
    <row r="49" spans="1:3" x14ac:dyDescent="0.2">
      <c r="A49">
        <v>5</v>
      </c>
      <c r="B49" t="s">
        <v>2624</v>
      </c>
      <c r="C49" t="s">
        <v>2625</v>
      </c>
    </row>
    <row r="50" spans="1:3" x14ac:dyDescent="0.2">
      <c r="A50">
        <v>6</v>
      </c>
      <c r="B50" t="s">
        <v>2626</v>
      </c>
      <c r="C50" t="s">
        <v>2627</v>
      </c>
    </row>
    <row r="51" spans="1:3" x14ac:dyDescent="0.2">
      <c r="A51">
        <v>7</v>
      </c>
      <c r="B51" t="s">
        <v>2628</v>
      </c>
      <c r="C51" t="s">
        <v>2629</v>
      </c>
    </row>
    <row r="52" spans="1:3" x14ac:dyDescent="0.2">
      <c r="A52">
        <v>8</v>
      </c>
      <c r="B52" t="s">
        <v>2630</v>
      </c>
      <c r="C52" t="s">
        <v>2631</v>
      </c>
    </row>
    <row r="53" spans="1:3" x14ac:dyDescent="0.2">
      <c r="B53" s="486" t="s">
        <v>2632</v>
      </c>
    </row>
    <row r="54" spans="1:3" x14ac:dyDescent="0.2">
      <c r="A54">
        <v>9</v>
      </c>
      <c r="B54" t="s">
        <v>2633</v>
      </c>
      <c r="C54" t="s">
        <v>2634</v>
      </c>
    </row>
    <row r="55" spans="1:3" x14ac:dyDescent="0.2">
      <c r="A55">
        <v>10</v>
      </c>
      <c r="B55" t="s">
        <v>2635</v>
      </c>
      <c r="C55" t="s">
        <v>2636</v>
      </c>
    </row>
    <row r="56" spans="1:3" x14ac:dyDescent="0.2">
      <c r="A56">
        <v>11</v>
      </c>
      <c r="B56" t="s">
        <v>2637</v>
      </c>
      <c r="C56" t="s">
        <v>2638</v>
      </c>
    </row>
    <row r="57" spans="1:3" x14ac:dyDescent="0.2">
      <c r="B57" s="486" t="s">
        <v>2639</v>
      </c>
    </row>
    <row r="58" spans="1:3" x14ac:dyDescent="0.2">
      <c r="A58">
        <v>12</v>
      </c>
      <c r="B58" t="s">
        <v>2640</v>
      </c>
      <c r="C58" t="s">
        <v>2641</v>
      </c>
    </row>
    <row r="59" spans="1:3" x14ac:dyDescent="0.2">
      <c r="A59">
        <v>13</v>
      </c>
      <c r="B59" t="s">
        <v>2642</v>
      </c>
      <c r="C59" t="s">
        <v>2643</v>
      </c>
    </row>
    <row r="60" spans="1:3" x14ac:dyDescent="0.2">
      <c r="A60">
        <v>14</v>
      </c>
      <c r="B60" t="s">
        <v>2644</v>
      </c>
      <c r="C60" t="s">
        <v>2645</v>
      </c>
    </row>
    <row r="61" spans="1:3" x14ac:dyDescent="0.2">
      <c r="A61">
        <v>15</v>
      </c>
      <c r="B61" t="s">
        <v>2646</v>
      </c>
      <c r="C61" t="s">
        <v>2647</v>
      </c>
    </row>
    <row r="62" spans="1:3" x14ac:dyDescent="0.2">
      <c r="B62" s="486" t="s">
        <v>2648</v>
      </c>
    </row>
    <row r="63" spans="1:3" x14ac:dyDescent="0.2">
      <c r="A63">
        <v>16</v>
      </c>
      <c r="B63" t="s">
        <v>2649</v>
      </c>
      <c r="C63" t="s">
        <v>2650</v>
      </c>
    </row>
    <row r="64" spans="1:3" x14ac:dyDescent="0.2">
      <c r="A64">
        <v>17</v>
      </c>
      <c r="B64" t="s">
        <v>2651</v>
      </c>
      <c r="C64" t="s">
        <v>2652</v>
      </c>
    </row>
    <row r="65" spans="1:3" x14ac:dyDescent="0.2">
      <c r="A65">
        <v>18</v>
      </c>
      <c r="B65" t="s">
        <v>2653</v>
      </c>
      <c r="C65" t="s">
        <v>2654</v>
      </c>
    </row>
    <row r="66" spans="1:3" x14ac:dyDescent="0.2">
      <c r="B66" s="486" t="s">
        <v>2655</v>
      </c>
    </row>
    <row r="67" spans="1:3" x14ac:dyDescent="0.2">
      <c r="A67">
        <v>19</v>
      </c>
      <c r="B67" t="s">
        <v>2656</v>
      </c>
      <c r="C67" t="s">
        <v>2657</v>
      </c>
    </row>
    <row r="68" spans="1:3" x14ac:dyDescent="0.2">
      <c r="A68">
        <v>20</v>
      </c>
      <c r="B68" t="s">
        <v>2658</v>
      </c>
      <c r="C68" t="s">
        <v>2659</v>
      </c>
    </row>
    <row r="69" spans="1:3" x14ac:dyDescent="0.2">
      <c r="A69">
        <v>21</v>
      </c>
      <c r="B69" t="s">
        <v>2660</v>
      </c>
      <c r="C69" t="s">
        <v>2661</v>
      </c>
    </row>
    <row r="70" spans="1:3" x14ac:dyDescent="0.2">
      <c r="B70" s="486" t="s">
        <v>2662</v>
      </c>
    </row>
    <row r="71" spans="1:3" x14ac:dyDescent="0.2">
      <c r="A71">
        <v>22</v>
      </c>
      <c r="B71" t="s">
        <v>2663</v>
      </c>
      <c r="C71" t="s">
        <v>2664</v>
      </c>
    </row>
    <row r="72" spans="1:3" x14ac:dyDescent="0.2">
      <c r="A72">
        <v>23</v>
      </c>
      <c r="B72" t="s">
        <v>2665</v>
      </c>
      <c r="C72" t="s">
        <v>2666</v>
      </c>
    </row>
    <row r="73" spans="1:3" x14ac:dyDescent="0.2">
      <c r="A73">
        <v>24</v>
      </c>
      <c r="B73" t="s">
        <v>2667</v>
      </c>
      <c r="C73" t="s">
        <v>2668</v>
      </c>
    </row>
    <row r="74" spans="1:3" x14ac:dyDescent="0.2">
      <c r="A74">
        <v>25</v>
      </c>
      <c r="B74" t="s">
        <v>2669</v>
      </c>
      <c r="C74" t="s">
        <v>2670</v>
      </c>
    </row>
    <row r="75" spans="1:3" x14ac:dyDescent="0.2">
      <c r="A75">
        <v>26</v>
      </c>
      <c r="B75" t="s">
        <v>2671</v>
      </c>
      <c r="C75" t="s">
        <v>2672</v>
      </c>
    </row>
    <row r="78" spans="1:3" ht="18" x14ac:dyDescent="0.25">
      <c r="A78" s="833" t="s">
        <v>6798</v>
      </c>
    </row>
    <row r="79" spans="1:3" ht="18.75" x14ac:dyDescent="0.3">
      <c r="A79" s="844" t="s">
        <v>7305</v>
      </c>
    </row>
    <row r="80" spans="1:3" x14ac:dyDescent="0.2">
      <c r="A80" s="734" t="s">
        <v>7246</v>
      </c>
    </row>
    <row r="81" spans="1:1" x14ac:dyDescent="0.2">
      <c r="A81" s="609" t="s">
        <v>6355</v>
      </c>
    </row>
    <row r="82" spans="1:1" x14ac:dyDescent="0.2">
      <c r="A82" s="839" t="s">
        <v>7306</v>
      </c>
    </row>
    <row r="83" spans="1:1" x14ac:dyDescent="0.2">
      <c r="A83" s="845" t="s">
        <v>7307</v>
      </c>
    </row>
    <row r="84" spans="1:1" x14ac:dyDescent="0.2">
      <c r="A84" t="s">
        <v>7308</v>
      </c>
    </row>
    <row r="85" spans="1:1" x14ac:dyDescent="0.2">
      <c r="A85" t="s">
        <v>7309</v>
      </c>
    </row>
    <row r="86" spans="1:1" x14ac:dyDescent="0.2">
      <c r="A86" s="609" t="s">
        <v>6359</v>
      </c>
    </row>
    <row r="87" spans="1:1" x14ac:dyDescent="0.2">
      <c r="A87" s="839" t="s">
        <v>7247</v>
      </c>
    </row>
    <row r="88" spans="1:1" x14ac:dyDescent="0.2">
      <c r="A88" s="842" t="s">
        <v>7310</v>
      </c>
    </row>
    <row r="89" spans="1:1" x14ac:dyDescent="0.2">
      <c r="A89" t="s">
        <v>7311</v>
      </c>
    </row>
    <row r="90" spans="1:1" x14ac:dyDescent="0.2">
      <c r="A90" t="s">
        <v>6799</v>
      </c>
    </row>
    <row r="91" spans="1:1" x14ac:dyDescent="0.2">
      <c r="A91" s="839" t="s">
        <v>7312</v>
      </c>
    </row>
    <row r="92" spans="1:1" x14ac:dyDescent="0.2">
      <c r="A92" s="842" t="s">
        <v>7313</v>
      </c>
    </row>
    <row r="93" spans="1:1" x14ac:dyDescent="0.2">
      <c r="A93" s="609" t="s">
        <v>7314</v>
      </c>
    </row>
    <row r="94" spans="1:1" x14ac:dyDescent="0.2">
      <c r="A94" t="s">
        <v>6800</v>
      </c>
    </row>
    <row r="95" spans="1:1" x14ac:dyDescent="0.2">
      <c r="A95" s="839" t="s">
        <v>7297</v>
      </c>
    </row>
    <row r="96" spans="1:1" x14ac:dyDescent="0.2">
      <c r="A96" t="s">
        <v>7315</v>
      </c>
    </row>
    <row r="97" spans="1:1" x14ac:dyDescent="0.2">
      <c r="A97" t="s">
        <v>6801</v>
      </c>
    </row>
    <row r="99" spans="1:1" x14ac:dyDescent="0.2">
      <c r="A99" s="609" t="s">
        <v>6658</v>
      </c>
    </row>
    <row r="100" spans="1:1" x14ac:dyDescent="0.2">
      <c r="A100" t="s">
        <v>6802</v>
      </c>
    </row>
    <row r="101" spans="1:1" x14ac:dyDescent="0.2">
      <c r="A101" t="s">
        <v>6803</v>
      </c>
    </row>
    <row r="103" spans="1:1" x14ac:dyDescent="0.2">
      <c r="A103" s="609" t="s">
        <v>6661</v>
      </c>
    </row>
    <row r="104" spans="1:1" x14ac:dyDescent="0.2">
      <c r="A104" t="s">
        <v>6493</v>
      </c>
    </row>
    <row r="105" spans="1:1" x14ac:dyDescent="0.2">
      <c r="A105" t="s">
        <v>6804</v>
      </c>
    </row>
    <row r="106" spans="1:1" x14ac:dyDescent="0.2">
      <c r="A106" t="s">
        <v>6805</v>
      </c>
    </row>
    <row r="108" spans="1:1" x14ac:dyDescent="0.2">
      <c r="A108" s="609" t="s">
        <v>6682</v>
      </c>
    </row>
    <row r="109" spans="1:1" x14ac:dyDescent="0.2">
      <c r="A109" t="s">
        <v>6806</v>
      </c>
    </row>
  </sheetData>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BBFFE-A58E-4B47-AFD1-55401B8A6288}">
  <dimension ref="A1:J167"/>
  <sheetViews>
    <sheetView workbookViewId="0">
      <pane ySplit="15" topLeftCell="A16" activePane="bottomLeft" state="frozen"/>
      <selection pane="bottomLeft"/>
    </sheetView>
  </sheetViews>
  <sheetFormatPr defaultRowHeight="12.75" x14ac:dyDescent="0.2"/>
  <cols>
    <col min="1" max="1" width="137.140625" customWidth="1"/>
    <col min="2" max="3" width="13.28515625" customWidth="1"/>
    <col min="4" max="4" width="47.5703125" customWidth="1"/>
    <col min="5" max="5" width="13.28515625" customWidth="1"/>
    <col min="6" max="9" width="11.42578125" customWidth="1"/>
    <col min="10" max="10" width="19" customWidth="1"/>
  </cols>
  <sheetData>
    <row r="1" spans="1:10" ht="18" x14ac:dyDescent="0.25">
      <c r="A1" s="470" t="s">
        <v>2673</v>
      </c>
    </row>
    <row r="2" spans="1:10" x14ac:dyDescent="0.2">
      <c r="A2" s="537" t="s">
        <v>2674</v>
      </c>
    </row>
    <row r="4" spans="1:10" ht="15.75" x14ac:dyDescent="0.25">
      <c r="A4" s="660" t="s">
        <v>2675</v>
      </c>
      <c r="D4" s="718" t="s">
        <v>2685</v>
      </c>
    </row>
    <row r="5" spans="1:10" x14ac:dyDescent="0.2">
      <c r="A5" s="472" t="s">
        <v>2676</v>
      </c>
      <c r="B5" s="564">
        <v>16</v>
      </c>
      <c r="D5" s="472" t="s">
        <v>618</v>
      </c>
      <c r="E5">
        <v>132</v>
      </c>
      <c r="F5" s="536" t="s">
        <v>2686</v>
      </c>
    </row>
    <row r="6" spans="1:10" x14ac:dyDescent="0.2">
      <c r="A6" s="472" t="s">
        <v>2677</v>
      </c>
      <c r="B6" s="596">
        <v>0.875</v>
      </c>
      <c r="D6" s="472" t="s">
        <v>2687</v>
      </c>
      <c r="E6">
        <v>196</v>
      </c>
      <c r="F6" s="536" t="s">
        <v>2686</v>
      </c>
    </row>
    <row r="7" spans="1:10" x14ac:dyDescent="0.2">
      <c r="A7" s="472" t="s">
        <v>2678</v>
      </c>
      <c r="B7" s="469">
        <f>180/B5</f>
        <v>11.25</v>
      </c>
      <c r="C7" s="598" t="s">
        <v>2679</v>
      </c>
      <c r="D7" s="472" t="s">
        <v>464</v>
      </c>
      <c r="E7">
        <v>28</v>
      </c>
      <c r="F7" s="536" t="s">
        <v>2686</v>
      </c>
    </row>
    <row r="8" spans="1:10" x14ac:dyDescent="0.2">
      <c r="A8" s="472" t="s">
        <v>2680</v>
      </c>
      <c r="B8" s="482">
        <f>B6*29</f>
        <v>25.375</v>
      </c>
      <c r="D8" s="472" t="s">
        <v>2688</v>
      </c>
      <c r="E8">
        <v>108</v>
      </c>
      <c r="F8" s="536" t="s">
        <v>2686</v>
      </c>
    </row>
    <row r="9" spans="1:10" x14ac:dyDescent="0.2">
      <c r="A9" s="472" t="s">
        <v>2681</v>
      </c>
      <c r="B9" s="481">
        <v>11.8</v>
      </c>
      <c r="D9" s="472" t="s">
        <v>2689</v>
      </c>
      <c r="E9" s="472">
        <f>SUM(E5:E8)</f>
        <v>464</v>
      </c>
    </row>
    <row r="10" spans="1:10" x14ac:dyDescent="0.2">
      <c r="A10" s="472" t="s">
        <v>2682</v>
      </c>
      <c r="B10" s="481">
        <v>5.6</v>
      </c>
    </row>
    <row r="11" spans="1:10" x14ac:dyDescent="0.2">
      <c r="A11" s="472" t="s">
        <v>2683</v>
      </c>
      <c r="B11" s="481">
        <v>11.8</v>
      </c>
      <c r="D11" s="719" t="s">
        <v>2690</v>
      </c>
    </row>
    <row r="12" spans="1:10" x14ac:dyDescent="0.2">
      <c r="A12" s="472" t="s">
        <v>2684</v>
      </c>
      <c r="B12" s="472">
        <f>B5*29</f>
        <v>464</v>
      </c>
      <c r="D12" s="719" t="s">
        <v>2691</v>
      </c>
    </row>
    <row r="14" spans="1:10" ht="15.75" x14ac:dyDescent="0.25">
      <c r="A14" s="663" t="s">
        <v>2692</v>
      </c>
    </row>
    <row r="15" spans="1:10" x14ac:dyDescent="0.2">
      <c r="A15" s="484" t="s">
        <v>2693</v>
      </c>
      <c r="B15" s="484" t="s">
        <v>2694</v>
      </c>
      <c r="C15" s="484" t="s">
        <v>2695</v>
      </c>
      <c r="D15" s="484" t="s">
        <v>2696</v>
      </c>
      <c r="E15" s="484" t="s">
        <v>2697</v>
      </c>
      <c r="F15" s="484" t="s">
        <v>618</v>
      </c>
      <c r="G15" s="484" t="s">
        <v>2687</v>
      </c>
      <c r="H15" s="484" t="s">
        <v>464</v>
      </c>
      <c r="I15" s="484" t="s">
        <v>2698</v>
      </c>
      <c r="J15" s="484" t="s">
        <v>2699</v>
      </c>
    </row>
    <row r="16" spans="1:10" x14ac:dyDescent="0.2">
      <c r="A16" s="626">
        <v>1</v>
      </c>
      <c r="B16" s="469">
        <v>1</v>
      </c>
      <c r="C16" s="481">
        <v>16.100000000000001</v>
      </c>
      <c r="D16" s="482">
        <v>1.5589999999999999</v>
      </c>
      <c r="E16">
        <v>7.8</v>
      </c>
      <c r="F16" s="485">
        <v>8</v>
      </c>
      <c r="G16">
        <v>0</v>
      </c>
      <c r="H16">
        <v>0</v>
      </c>
      <c r="I16" s="551">
        <v>8</v>
      </c>
      <c r="J16" s="537" t="s">
        <v>2700</v>
      </c>
    </row>
    <row r="17" spans="1:10" x14ac:dyDescent="0.2">
      <c r="A17" s="626">
        <v>2</v>
      </c>
      <c r="B17" s="469">
        <v>1</v>
      </c>
      <c r="C17" s="481">
        <v>16.7</v>
      </c>
      <c r="D17" s="482">
        <v>1.5269999999999999</v>
      </c>
      <c r="E17">
        <v>7.6</v>
      </c>
      <c r="F17">
        <v>0</v>
      </c>
      <c r="G17" s="632">
        <v>8</v>
      </c>
      <c r="H17">
        <v>0</v>
      </c>
      <c r="I17" s="551">
        <v>8</v>
      </c>
      <c r="J17" s="537" t="s">
        <v>2700</v>
      </c>
    </row>
    <row r="18" spans="1:10" x14ac:dyDescent="0.2">
      <c r="A18" s="626">
        <v>3</v>
      </c>
      <c r="B18" s="469">
        <v>1</v>
      </c>
      <c r="C18" s="481">
        <v>17.2</v>
      </c>
      <c r="D18" s="482">
        <v>1.476</v>
      </c>
      <c r="E18">
        <v>7.4</v>
      </c>
      <c r="F18" s="485">
        <v>8</v>
      </c>
      <c r="G18">
        <v>0</v>
      </c>
      <c r="H18">
        <v>0</v>
      </c>
      <c r="I18" s="551">
        <v>8</v>
      </c>
      <c r="J18" s="537" t="s">
        <v>2700</v>
      </c>
    </row>
    <row r="19" spans="1:10" x14ac:dyDescent="0.2">
      <c r="A19" s="626">
        <v>4</v>
      </c>
      <c r="B19" s="469">
        <v>1</v>
      </c>
      <c r="C19" s="481">
        <v>17.8</v>
      </c>
      <c r="D19" s="482">
        <v>1.4359999999999999</v>
      </c>
      <c r="E19">
        <v>7.2</v>
      </c>
      <c r="F19">
        <v>0</v>
      </c>
      <c r="G19" s="632">
        <v>4</v>
      </c>
      <c r="H19">
        <v>0</v>
      </c>
      <c r="I19" s="551">
        <v>4</v>
      </c>
      <c r="J19" s="537" t="s">
        <v>2700</v>
      </c>
    </row>
    <row r="20" spans="1:10" x14ac:dyDescent="0.2">
      <c r="A20" s="626">
        <v>5</v>
      </c>
      <c r="B20" s="469">
        <v>1</v>
      </c>
      <c r="C20" s="481">
        <v>18.399999999999999</v>
      </c>
      <c r="D20" s="482">
        <v>1.3959999999999999</v>
      </c>
      <c r="E20">
        <v>7</v>
      </c>
      <c r="F20" s="485">
        <v>8</v>
      </c>
      <c r="G20">
        <v>0</v>
      </c>
      <c r="H20">
        <v>0</v>
      </c>
      <c r="I20" s="551">
        <v>8</v>
      </c>
      <c r="J20" s="537" t="s">
        <v>2700</v>
      </c>
    </row>
    <row r="21" spans="1:10" x14ac:dyDescent="0.2">
      <c r="A21" s="626">
        <v>6</v>
      </c>
      <c r="B21" s="469">
        <v>1</v>
      </c>
      <c r="C21" s="481">
        <v>18.8</v>
      </c>
      <c r="D21" s="482">
        <v>1.353</v>
      </c>
      <c r="E21">
        <v>6.8</v>
      </c>
      <c r="F21">
        <v>0</v>
      </c>
      <c r="G21" s="632">
        <v>8</v>
      </c>
      <c r="H21">
        <v>0</v>
      </c>
      <c r="I21" s="551">
        <v>8</v>
      </c>
      <c r="J21" s="537" t="s">
        <v>2700</v>
      </c>
    </row>
    <row r="22" spans="1:10" x14ac:dyDescent="0.2">
      <c r="A22" s="626">
        <v>7</v>
      </c>
      <c r="B22" s="469">
        <v>1</v>
      </c>
      <c r="C22" s="481">
        <v>19.100000000000001</v>
      </c>
      <c r="D22" s="482">
        <v>1.3129999999999999</v>
      </c>
      <c r="E22">
        <v>6.6</v>
      </c>
      <c r="F22" s="485">
        <v>8</v>
      </c>
      <c r="G22">
        <v>0</v>
      </c>
      <c r="H22">
        <v>0</v>
      </c>
      <c r="I22" s="551">
        <v>8</v>
      </c>
      <c r="J22" s="537" t="s">
        <v>2700</v>
      </c>
    </row>
    <row r="23" spans="1:10" x14ac:dyDescent="0.2">
      <c r="A23" s="626">
        <v>8</v>
      </c>
      <c r="B23" s="469">
        <v>1</v>
      </c>
      <c r="C23" s="481">
        <v>19</v>
      </c>
      <c r="D23" s="482">
        <v>1.2769999999999999</v>
      </c>
      <c r="E23">
        <v>6.4</v>
      </c>
      <c r="F23">
        <v>0</v>
      </c>
      <c r="G23" s="632">
        <v>4</v>
      </c>
      <c r="H23">
        <v>0</v>
      </c>
      <c r="I23" s="551">
        <v>4</v>
      </c>
      <c r="J23" s="537" t="s">
        <v>2700</v>
      </c>
    </row>
    <row r="24" spans="1:10" x14ac:dyDescent="0.2">
      <c r="A24" s="626">
        <v>9</v>
      </c>
      <c r="B24" s="469">
        <v>1.2</v>
      </c>
      <c r="C24" s="481">
        <v>17.899999999999999</v>
      </c>
      <c r="D24" s="482">
        <v>1.2370000000000001</v>
      </c>
      <c r="E24">
        <v>6.2</v>
      </c>
      <c r="F24" s="485">
        <v>8</v>
      </c>
      <c r="G24">
        <v>0</v>
      </c>
      <c r="H24">
        <v>0</v>
      </c>
      <c r="I24" s="551">
        <v>8</v>
      </c>
      <c r="J24" s="537" t="s">
        <v>2701</v>
      </c>
    </row>
    <row r="25" spans="1:10" x14ac:dyDescent="0.2">
      <c r="A25" s="626">
        <v>10</v>
      </c>
      <c r="B25" s="469">
        <v>1.37</v>
      </c>
      <c r="C25" s="481">
        <v>16.5</v>
      </c>
      <c r="D25" s="482">
        <v>1.1859999999999999</v>
      </c>
      <c r="E25">
        <v>6</v>
      </c>
      <c r="F25">
        <v>0</v>
      </c>
      <c r="G25" s="632">
        <v>8</v>
      </c>
      <c r="H25">
        <v>0</v>
      </c>
      <c r="I25" s="551">
        <v>8</v>
      </c>
      <c r="J25" s="537" t="s">
        <v>2701</v>
      </c>
    </row>
    <row r="26" spans="1:10" x14ac:dyDescent="0.2">
      <c r="A26" s="626">
        <v>11</v>
      </c>
      <c r="B26" s="469">
        <v>1.56</v>
      </c>
      <c r="C26" s="481">
        <v>15.2</v>
      </c>
      <c r="D26" s="482">
        <v>1.1419999999999999</v>
      </c>
      <c r="E26">
        <v>5.7</v>
      </c>
      <c r="F26" s="485">
        <v>8</v>
      </c>
      <c r="G26">
        <v>0</v>
      </c>
      <c r="H26">
        <v>0</v>
      </c>
      <c r="I26" s="551">
        <v>8</v>
      </c>
      <c r="J26" s="537" t="s">
        <v>2701</v>
      </c>
    </row>
    <row r="27" spans="1:10" x14ac:dyDescent="0.2">
      <c r="A27" s="626">
        <v>12</v>
      </c>
      <c r="B27" s="469">
        <v>1.69</v>
      </c>
      <c r="C27" s="481">
        <v>14.2</v>
      </c>
      <c r="D27" s="482">
        <v>1.1060000000000001</v>
      </c>
      <c r="E27">
        <v>5.6</v>
      </c>
      <c r="F27">
        <v>0</v>
      </c>
      <c r="G27" s="632">
        <v>4</v>
      </c>
      <c r="H27" s="646">
        <v>4</v>
      </c>
      <c r="I27" s="551">
        <v>0</v>
      </c>
      <c r="J27" s="537" t="s">
        <v>2701</v>
      </c>
    </row>
    <row r="28" spans="1:10" x14ac:dyDescent="0.2">
      <c r="A28" s="626">
        <v>13</v>
      </c>
      <c r="B28" s="469">
        <v>1.77</v>
      </c>
      <c r="C28" s="481">
        <v>14.2</v>
      </c>
      <c r="D28" s="482">
        <v>1.1180000000000001</v>
      </c>
      <c r="E28">
        <v>5.6</v>
      </c>
      <c r="F28" s="485">
        <v>8</v>
      </c>
      <c r="G28">
        <v>0</v>
      </c>
      <c r="H28">
        <v>0</v>
      </c>
      <c r="I28" s="551">
        <v>8</v>
      </c>
      <c r="J28" s="537" t="s">
        <v>2701</v>
      </c>
    </row>
    <row r="29" spans="1:10" x14ac:dyDescent="0.2">
      <c r="A29" s="626">
        <v>14</v>
      </c>
      <c r="B29" s="469">
        <v>2.58</v>
      </c>
      <c r="C29" s="481">
        <v>16.7</v>
      </c>
      <c r="D29" s="482">
        <v>1.44</v>
      </c>
      <c r="E29">
        <v>7.2</v>
      </c>
      <c r="F29" s="485">
        <v>4</v>
      </c>
      <c r="G29" s="632">
        <v>0</v>
      </c>
      <c r="H29" s="646">
        <v>4</v>
      </c>
      <c r="I29" s="551">
        <v>0</v>
      </c>
      <c r="J29" s="537" t="s">
        <v>2702</v>
      </c>
    </row>
    <row r="30" spans="1:10" x14ac:dyDescent="0.2">
      <c r="A30" s="626">
        <v>15</v>
      </c>
      <c r="B30" s="469">
        <v>2.52</v>
      </c>
      <c r="C30" s="481">
        <v>22.8</v>
      </c>
      <c r="D30" s="482">
        <v>1.806</v>
      </c>
      <c r="E30">
        <v>9.1</v>
      </c>
      <c r="F30" s="485">
        <v>8</v>
      </c>
      <c r="G30">
        <v>0</v>
      </c>
      <c r="H30">
        <v>0</v>
      </c>
      <c r="I30" s="551">
        <v>8</v>
      </c>
      <c r="J30" s="537" t="s">
        <v>2703</v>
      </c>
    </row>
    <row r="31" spans="1:10" x14ac:dyDescent="0.2">
      <c r="A31" s="626">
        <v>16</v>
      </c>
      <c r="B31" s="469">
        <v>1.84</v>
      </c>
      <c r="C31" s="481">
        <v>28.4</v>
      </c>
      <c r="D31" s="482">
        <v>2.0249999999999999</v>
      </c>
      <c r="E31">
        <v>10.199999999999999</v>
      </c>
      <c r="F31" s="485">
        <v>0</v>
      </c>
      <c r="G31" s="632">
        <v>4</v>
      </c>
      <c r="H31" s="646">
        <v>0</v>
      </c>
      <c r="I31" s="551">
        <v>4</v>
      </c>
      <c r="J31" s="537" t="s">
        <v>2703</v>
      </c>
    </row>
    <row r="32" spans="1:10" x14ac:dyDescent="0.2">
      <c r="A32" s="626">
        <v>17</v>
      </c>
      <c r="B32" s="469">
        <v>1.56</v>
      </c>
      <c r="C32" s="481">
        <v>32.1</v>
      </c>
      <c r="D32" s="482">
        <v>2.1960000000000002</v>
      </c>
      <c r="E32">
        <v>11</v>
      </c>
      <c r="F32" s="485">
        <v>8</v>
      </c>
      <c r="G32">
        <v>0</v>
      </c>
      <c r="H32">
        <v>0</v>
      </c>
      <c r="I32" s="551">
        <v>8</v>
      </c>
      <c r="J32" s="537" t="s">
        <v>2703</v>
      </c>
    </row>
    <row r="33" spans="1:10" x14ac:dyDescent="0.2">
      <c r="A33" s="626">
        <v>18</v>
      </c>
      <c r="B33" s="469">
        <v>1.1399999999999999</v>
      </c>
      <c r="C33" s="481">
        <v>34.299999999999997</v>
      </c>
      <c r="D33" s="482">
        <v>2.2519999999999998</v>
      </c>
      <c r="E33">
        <v>11.3</v>
      </c>
      <c r="F33" s="485">
        <v>0</v>
      </c>
      <c r="G33" s="632">
        <v>8</v>
      </c>
      <c r="H33" s="646">
        <v>0</v>
      </c>
      <c r="I33" s="551">
        <v>8</v>
      </c>
      <c r="J33" s="537" t="s">
        <v>2703</v>
      </c>
    </row>
    <row r="34" spans="1:10" x14ac:dyDescent="0.2">
      <c r="A34" s="626">
        <v>19</v>
      </c>
      <c r="B34" s="469">
        <v>1</v>
      </c>
      <c r="C34" s="481">
        <v>34.799999999999997</v>
      </c>
      <c r="D34" s="482">
        <v>2.2519999999999998</v>
      </c>
      <c r="E34">
        <v>11.3</v>
      </c>
      <c r="F34" s="485">
        <v>8</v>
      </c>
      <c r="G34">
        <v>0</v>
      </c>
      <c r="H34">
        <v>0</v>
      </c>
      <c r="I34" s="551">
        <v>8</v>
      </c>
      <c r="J34" s="537" t="s">
        <v>2703</v>
      </c>
    </row>
    <row r="35" spans="1:10" x14ac:dyDescent="0.2">
      <c r="A35" s="626">
        <v>20</v>
      </c>
      <c r="B35" s="469">
        <v>1</v>
      </c>
      <c r="C35" s="481">
        <v>34.5</v>
      </c>
      <c r="D35" s="482">
        <v>2.2440000000000002</v>
      </c>
      <c r="E35">
        <v>11.3</v>
      </c>
      <c r="F35" s="485">
        <v>0</v>
      </c>
      <c r="G35" s="632">
        <v>4</v>
      </c>
      <c r="H35" s="646">
        <v>0</v>
      </c>
      <c r="I35" s="551">
        <v>4</v>
      </c>
      <c r="J35" s="537" t="s">
        <v>2703</v>
      </c>
    </row>
    <row r="36" spans="1:10" x14ac:dyDescent="0.2">
      <c r="A36" s="626">
        <v>21</v>
      </c>
      <c r="B36" s="469">
        <v>1</v>
      </c>
      <c r="C36" s="481">
        <v>34.5</v>
      </c>
      <c r="D36" s="482">
        <v>2.2400000000000002</v>
      </c>
      <c r="E36">
        <v>11.3</v>
      </c>
      <c r="F36" s="485">
        <v>8</v>
      </c>
      <c r="G36">
        <v>0</v>
      </c>
      <c r="H36">
        <v>0</v>
      </c>
      <c r="I36" s="551">
        <v>8</v>
      </c>
      <c r="J36" s="537" t="s">
        <v>2703</v>
      </c>
    </row>
    <row r="37" spans="1:10" x14ac:dyDescent="0.2">
      <c r="A37" s="626">
        <v>22</v>
      </c>
      <c r="B37" s="469">
        <v>1</v>
      </c>
      <c r="C37" s="481">
        <v>34.700000000000003</v>
      </c>
      <c r="D37" s="482">
        <v>2.2599999999999998</v>
      </c>
      <c r="E37">
        <v>11.4</v>
      </c>
      <c r="F37" s="485">
        <v>0</v>
      </c>
      <c r="G37" s="632">
        <v>8</v>
      </c>
      <c r="H37" s="646">
        <v>0</v>
      </c>
      <c r="I37" s="551">
        <v>8</v>
      </c>
      <c r="J37" s="537" t="s">
        <v>2703</v>
      </c>
    </row>
    <row r="38" spans="1:10" x14ac:dyDescent="0.2">
      <c r="A38" s="626">
        <v>23</v>
      </c>
      <c r="B38" s="469">
        <v>1</v>
      </c>
      <c r="C38" s="481">
        <v>35</v>
      </c>
      <c r="D38" s="482">
        <v>2.2799999999999998</v>
      </c>
      <c r="E38">
        <v>11.5</v>
      </c>
      <c r="F38" s="485">
        <v>8</v>
      </c>
      <c r="G38">
        <v>0</v>
      </c>
      <c r="H38">
        <v>0</v>
      </c>
      <c r="I38" s="551">
        <v>8</v>
      </c>
      <c r="J38" s="537" t="s">
        <v>2703</v>
      </c>
    </row>
    <row r="39" spans="1:10" x14ac:dyDescent="0.2">
      <c r="A39" s="626">
        <v>24</v>
      </c>
      <c r="B39" s="469">
        <v>1</v>
      </c>
      <c r="C39" s="481">
        <v>35.4</v>
      </c>
      <c r="D39" s="482">
        <v>2.2989999999999999</v>
      </c>
      <c r="E39">
        <v>11.6</v>
      </c>
      <c r="F39" s="485">
        <v>0</v>
      </c>
      <c r="G39" s="632">
        <v>4</v>
      </c>
      <c r="H39" s="646">
        <v>0</v>
      </c>
      <c r="I39" s="551">
        <v>4</v>
      </c>
      <c r="J39" s="537" t="s">
        <v>2703</v>
      </c>
    </row>
    <row r="40" spans="1:10" x14ac:dyDescent="0.2">
      <c r="A40" s="626">
        <v>25</v>
      </c>
      <c r="B40" s="469">
        <v>1</v>
      </c>
      <c r="C40" s="481">
        <v>35.700000000000003</v>
      </c>
      <c r="D40" s="482">
        <v>2.3149999999999999</v>
      </c>
      <c r="E40">
        <v>11.6</v>
      </c>
      <c r="F40" s="485">
        <v>8</v>
      </c>
      <c r="G40">
        <v>0</v>
      </c>
      <c r="H40">
        <v>0</v>
      </c>
      <c r="I40" s="551">
        <v>8</v>
      </c>
      <c r="J40" s="537" t="s">
        <v>2703</v>
      </c>
    </row>
    <row r="41" spans="1:10" x14ac:dyDescent="0.2">
      <c r="A41" s="626">
        <v>26</v>
      </c>
      <c r="B41" s="469">
        <v>1</v>
      </c>
      <c r="C41" s="481">
        <v>35.9</v>
      </c>
      <c r="D41" s="482">
        <v>2.327</v>
      </c>
      <c r="E41">
        <v>11.7</v>
      </c>
      <c r="F41" s="485">
        <v>0</v>
      </c>
      <c r="G41" s="632">
        <v>8</v>
      </c>
      <c r="H41" s="646">
        <v>0</v>
      </c>
      <c r="I41" s="551">
        <v>8</v>
      </c>
      <c r="J41" s="537" t="s">
        <v>2703</v>
      </c>
    </row>
    <row r="42" spans="1:10" x14ac:dyDescent="0.2">
      <c r="A42" s="626">
        <v>27</v>
      </c>
      <c r="B42" s="469">
        <v>1</v>
      </c>
      <c r="C42" s="481">
        <v>36.1</v>
      </c>
      <c r="D42" s="482">
        <v>2.335</v>
      </c>
      <c r="E42">
        <v>11.7</v>
      </c>
      <c r="F42" s="485">
        <v>8</v>
      </c>
      <c r="G42">
        <v>0</v>
      </c>
      <c r="H42">
        <v>0</v>
      </c>
      <c r="I42" s="551">
        <v>8</v>
      </c>
      <c r="J42" s="537" t="s">
        <v>2703</v>
      </c>
    </row>
    <row r="43" spans="1:10" x14ac:dyDescent="0.2">
      <c r="A43" s="626">
        <v>28</v>
      </c>
      <c r="B43" s="469">
        <v>1</v>
      </c>
      <c r="C43" s="481">
        <v>36.200000000000003</v>
      </c>
      <c r="D43" s="482">
        <v>2.347</v>
      </c>
      <c r="E43">
        <v>11.8</v>
      </c>
      <c r="F43" s="485">
        <v>0</v>
      </c>
      <c r="G43" s="632">
        <v>4</v>
      </c>
      <c r="H43" s="646">
        <v>0</v>
      </c>
      <c r="I43" s="551">
        <v>4</v>
      </c>
      <c r="J43" s="537" t="s">
        <v>2703</v>
      </c>
    </row>
    <row r="44" spans="1:10" x14ac:dyDescent="0.2">
      <c r="A44" s="626">
        <v>29</v>
      </c>
      <c r="B44" s="469">
        <v>1</v>
      </c>
      <c r="C44" s="481">
        <v>35.700000000000003</v>
      </c>
      <c r="D44" s="482">
        <v>2.347</v>
      </c>
      <c r="E44">
        <v>11.8</v>
      </c>
      <c r="F44" s="485">
        <v>8</v>
      </c>
      <c r="G44">
        <v>0</v>
      </c>
      <c r="H44">
        <v>0</v>
      </c>
      <c r="I44" s="551">
        <v>8</v>
      </c>
      <c r="J44" s="537" t="s">
        <v>2703</v>
      </c>
    </row>
    <row r="45" spans="1:10" x14ac:dyDescent="0.2">
      <c r="A45" s="472" t="s">
        <v>2263</v>
      </c>
      <c r="F45" s="472">
        <f>SUM(F16:F44)</f>
        <v>124</v>
      </c>
      <c r="G45" s="472">
        <f>SUM(G16:G44)</f>
        <v>76</v>
      </c>
      <c r="H45" s="472">
        <f>SUM(H16:H44)</f>
        <v>8</v>
      </c>
      <c r="I45" s="472">
        <f>SUM(I16:I44)</f>
        <v>192</v>
      </c>
    </row>
    <row r="47" spans="1:10" ht="15.75" x14ac:dyDescent="0.25">
      <c r="A47" s="660" t="s">
        <v>1543</v>
      </c>
    </row>
    <row r="48" spans="1:10" x14ac:dyDescent="0.2">
      <c r="A48" s="484" t="s">
        <v>610</v>
      </c>
      <c r="B48" s="484" t="s">
        <v>1545</v>
      </c>
      <c r="C48" s="484" t="s">
        <v>1546</v>
      </c>
      <c r="D48" s="484" t="s">
        <v>2704</v>
      </c>
    </row>
    <row r="49" spans="1:4" x14ac:dyDescent="0.2">
      <c r="A49">
        <v>1</v>
      </c>
      <c r="B49" t="s">
        <v>2705</v>
      </c>
      <c r="C49" t="s">
        <v>2706</v>
      </c>
      <c r="D49" t="s">
        <v>2707</v>
      </c>
    </row>
    <row r="50" spans="1:4" x14ac:dyDescent="0.2">
      <c r="A50">
        <v>2</v>
      </c>
      <c r="B50" t="s">
        <v>2708</v>
      </c>
      <c r="C50" t="s">
        <v>2709</v>
      </c>
      <c r="D50" t="s">
        <v>2707</v>
      </c>
    </row>
    <row r="51" spans="1:4" x14ac:dyDescent="0.2">
      <c r="A51">
        <v>3</v>
      </c>
      <c r="B51" t="s">
        <v>2710</v>
      </c>
      <c r="C51" t="s">
        <v>2711</v>
      </c>
      <c r="D51" t="s">
        <v>2712</v>
      </c>
    </row>
    <row r="52" spans="1:4" x14ac:dyDescent="0.2">
      <c r="A52">
        <v>4</v>
      </c>
      <c r="B52" t="s">
        <v>2713</v>
      </c>
      <c r="C52" t="s">
        <v>2714</v>
      </c>
      <c r="D52" t="s">
        <v>2707</v>
      </c>
    </row>
    <row r="53" spans="1:4" x14ac:dyDescent="0.2">
      <c r="A53">
        <v>5</v>
      </c>
      <c r="B53" t="s">
        <v>2715</v>
      </c>
      <c r="C53" t="s">
        <v>2716</v>
      </c>
      <c r="D53" t="s">
        <v>2717</v>
      </c>
    </row>
    <row r="54" spans="1:4" x14ac:dyDescent="0.2">
      <c r="A54">
        <v>6</v>
      </c>
      <c r="B54" t="s">
        <v>2718</v>
      </c>
      <c r="C54" t="s">
        <v>2719</v>
      </c>
      <c r="D54" t="s">
        <v>2720</v>
      </c>
    </row>
    <row r="55" spans="1:4" x14ac:dyDescent="0.2">
      <c r="A55">
        <v>7</v>
      </c>
      <c r="B55" t="s">
        <v>2721</v>
      </c>
      <c r="C55">
        <v>1</v>
      </c>
      <c r="D55" t="s">
        <v>2722</v>
      </c>
    </row>
    <row r="56" spans="1:4" x14ac:dyDescent="0.2">
      <c r="A56">
        <v>8</v>
      </c>
      <c r="B56" t="s">
        <v>2723</v>
      </c>
      <c r="C56" t="s">
        <v>2724</v>
      </c>
      <c r="D56" t="s">
        <v>2725</v>
      </c>
    </row>
    <row r="57" spans="1:4" x14ac:dyDescent="0.2">
      <c r="A57">
        <v>9</v>
      </c>
      <c r="B57" t="s">
        <v>2726</v>
      </c>
      <c r="C57">
        <v>2</v>
      </c>
      <c r="D57" t="s">
        <v>2727</v>
      </c>
    </row>
    <row r="58" spans="1:4" x14ac:dyDescent="0.2">
      <c r="A58">
        <v>10</v>
      </c>
      <c r="B58" t="s">
        <v>2728</v>
      </c>
      <c r="C58">
        <v>1</v>
      </c>
      <c r="D58" t="s">
        <v>2729</v>
      </c>
    </row>
    <row r="59" spans="1:4" x14ac:dyDescent="0.2">
      <c r="A59">
        <v>11</v>
      </c>
      <c r="B59" t="s">
        <v>2730</v>
      </c>
      <c r="C59">
        <v>1</v>
      </c>
      <c r="D59" t="s">
        <v>2731</v>
      </c>
    </row>
    <row r="60" spans="1:4" x14ac:dyDescent="0.2">
      <c r="A60">
        <v>12</v>
      </c>
      <c r="B60" t="s">
        <v>2732</v>
      </c>
      <c r="C60">
        <v>2</v>
      </c>
      <c r="D60" t="s">
        <v>2733</v>
      </c>
    </row>
    <row r="61" spans="1:4" x14ac:dyDescent="0.2">
      <c r="A61">
        <v>13</v>
      </c>
      <c r="B61" t="s">
        <v>2734</v>
      </c>
      <c r="C61" t="s">
        <v>2735</v>
      </c>
      <c r="D61" t="s">
        <v>2736</v>
      </c>
    </row>
    <row r="62" spans="1:4" x14ac:dyDescent="0.2">
      <c r="A62">
        <v>14</v>
      </c>
      <c r="B62" t="s">
        <v>2737</v>
      </c>
      <c r="C62" t="s">
        <v>2738</v>
      </c>
      <c r="D62" t="s">
        <v>2739</v>
      </c>
    </row>
    <row r="63" spans="1:4" x14ac:dyDescent="0.2">
      <c r="A63">
        <v>15</v>
      </c>
      <c r="B63" t="s">
        <v>2740</v>
      </c>
      <c r="C63">
        <v>1</v>
      </c>
      <c r="D63" t="s">
        <v>2741</v>
      </c>
    </row>
    <row r="64" spans="1:4" x14ac:dyDescent="0.2">
      <c r="A64">
        <v>16</v>
      </c>
      <c r="B64" t="s">
        <v>2742</v>
      </c>
      <c r="C64">
        <v>1</v>
      </c>
      <c r="D64" t="s">
        <v>2743</v>
      </c>
    </row>
    <row r="66" spans="1:1" ht="15.75" x14ac:dyDescent="0.25">
      <c r="A66" s="663" t="s">
        <v>1849</v>
      </c>
    </row>
    <row r="67" spans="1:1" ht="15" x14ac:dyDescent="0.25">
      <c r="A67" s="600" t="s">
        <v>2744</v>
      </c>
    </row>
    <row r="68" spans="1:1" x14ac:dyDescent="0.2">
      <c r="A68" t="s">
        <v>2745</v>
      </c>
    </row>
    <row r="69" spans="1:1" x14ac:dyDescent="0.2">
      <c r="A69" t="s">
        <v>2746</v>
      </c>
    </row>
    <row r="70" spans="1:1" x14ac:dyDescent="0.2">
      <c r="A70" t="s">
        <v>2747</v>
      </c>
    </row>
    <row r="71" spans="1:1" x14ac:dyDescent="0.2">
      <c r="A71" t="s">
        <v>2748</v>
      </c>
    </row>
    <row r="72" spans="1:1" x14ac:dyDescent="0.2">
      <c r="A72" t="s">
        <v>2749</v>
      </c>
    </row>
    <row r="73" spans="1:1" x14ac:dyDescent="0.2">
      <c r="A73" t="s">
        <v>2750</v>
      </c>
    </row>
    <row r="75" spans="1:1" ht="15" x14ac:dyDescent="0.25">
      <c r="A75" s="600" t="s">
        <v>2751</v>
      </c>
    </row>
    <row r="76" spans="1:1" x14ac:dyDescent="0.2">
      <c r="A76" t="s">
        <v>2752</v>
      </c>
    </row>
    <row r="77" spans="1:1" x14ac:dyDescent="0.2">
      <c r="A77" t="s">
        <v>2753</v>
      </c>
    </row>
    <row r="78" spans="1:1" x14ac:dyDescent="0.2">
      <c r="A78" t="s">
        <v>2754</v>
      </c>
    </row>
    <row r="79" spans="1:1" x14ac:dyDescent="0.2">
      <c r="A79" t="s">
        <v>2755</v>
      </c>
    </row>
    <row r="80" spans="1:1" x14ac:dyDescent="0.2">
      <c r="A80" t="s">
        <v>2756</v>
      </c>
    </row>
    <row r="82" spans="1:1" ht="15" x14ac:dyDescent="0.25">
      <c r="A82" s="600" t="s">
        <v>2757</v>
      </c>
    </row>
    <row r="83" spans="1:1" x14ac:dyDescent="0.2">
      <c r="A83" t="s">
        <v>2758</v>
      </c>
    </row>
    <row r="84" spans="1:1" x14ac:dyDescent="0.2">
      <c r="A84" t="s">
        <v>2759</v>
      </c>
    </row>
    <row r="85" spans="1:1" x14ac:dyDescent="0.2">
      <c r="A85" t="s">
        <v>2760</v>
      </c>
    </row>
    <row r="86" spans="1:1" x14ac:dyDescent="0.2">
      <c r="A86" t="s">
        <v>2761</v>
      </c>
    </row>
    <row r="87" spans="1:1" x14ac:dyDescent="0.2">
      <c r="A87" t="s">
        <v>2762</v>
      </c>
    </row>
    <row r="89" spans="1:1" ht="15" x14ac:dyDescent="0.25">
      <c r="A89" s="600" t="s">
        <v>2763</v>
      </c>
    </row>
    <row r="90" spans="1:1" x14ac:dyDescent="0.2">
      <c r="A90" t="s">
        <v>2764</v>
      </c>
    </row>
    <row r="91" spans="1:1" x14ac:dyDescent="0.2">
      <c r="A91" t="s">
        <v>2765</v>
      </c>
    </row>
    <row r="92" spans="1:1" x14ac:dyDescent="0.2">
      <c r="A92" t="s">
        <v>2766</v>
      </c>
    </row>
    <row r="93" spans="1:1" x14ac:dyDescent="0.2">
      <c r="A93" t="s">
        <v>2767</v>
      </c>
    </row>
    <row r="94" spans="1:1" x14ac:dyDescent="0.2">
      <c r="A94" t="s">
        <v>2768</v>
      </c>
    </row>
    <row r="95" spans="1:1" x14ac:dyDescent="0.2">
      <c r="A95" t="s">
        <v>2769</v>
      </c>
    </row>
    <row r="96" spans="1:1" x14ac:dyDescent="0.2">
      <c r="A96" t="s">
        <v>2770</v>
      </c>
    </row>
    <row r="97" spans="1:1" x14ac:dyDescent="0.2">
      <c r="A97" t="s">
        <v>2771</v>
      </c>
    </row>
    <row r="99" spans="1:1" ht="15" x14ac:dyDescent="0.25">
      <c r="A99" s="600" t="s">
        <v>2772</v>
      </c>
    </row>
    <row r="100" spans="1:1" x14ac:dyDescent="0.2">
      <c r="A100" t="s">
        <v>2773</v>
      </c>
    </row>
    <row r="101" spans="1:1" x14ac:dyDescent="0.2">
      <c r="A101" t="s">
        <v>2774</v>
      </c>
    </row>
    <row r="102" spans="1:1" x14ac:dyDescent="0.2">
      <c r="A102" t="s">
        <v>2775</v>
      </c>
    </row>
    <row r="103" spans="1:1" x14ac:dyDescent="0.2">
      <c r="A103" t="s">
        <v>2776</v>
      </c>
    </row>
    <row r="104" spans="1:1" x14ac:dyDescent="0.2">
      <c r="A104" t="s">
        <v>2777</v>
      </c>
    </row>
    <row r="105" spans="1:1" x14ac:dyDescent="0.2">
      <c r="A105" t="s">
        <v>2778</v>
      </c>
    </row>
    <row r="107" spans="1:1" ht="15" x14ac:dyDescent="0.25">
      <c r="A107" s="600" t="s">
        <v>2779</v>
      </c>
    </row>
    <row r="108" spans="1:1" x14ac:dyDescent="0.2">
      <c r="A108" t="s">
        <v>2780</v>
      </c>
    </row>
    <row r="109" spans="1:1" x14ac:dyDescent="0.2">
      <c r="A109" t="s">
        <v>2781</v>
      </c>
    </row>
    <row r="110" spans="1:1" x14ac:dyDescent="0.2">
      <c r="A110" t="s">
        <v>2782</v>
      </c>
    </row>
    <row r="113" spans="1:1" ht="18" x14ac:dyDescent="0.25">
      <c r="A113" s="833" t="s">
        <v>6617</v>
      </c>
    </row>
    <row r="114" spans="1:1" x14ac:dyDescent="0.2">
      <c r="A114" s="734" t="s">
        <v>6618</v>
      </c>
    </row>
    <row r="116" spans="1:1" x14ac:dyDescent="0.2">
      <c r="A116" s="609" t="s">
        <v>6324</v>
      </c>
    </row>
    <row r="117" spans="1:1" x14ac:dyDescent="0.2">
      <c r="A117" t="s">
        <v>6619</v>
      </c>
    </row>
    <row r="118" spans="1:1" x14ac:dyDescent="0.2">
      <c r="A118" s="759" t="s">
        <v>6620</v>
      </c>
    </row>
    <row r="119" spans="1:1" x14ac:dyDescent="0.2">
      <c r="A119" t="s">
        <v>6621</v>
      </c>
    </row>
    <row r="121" spans="1:1" x14ac:dyDescent="0.2">
      <c r="A121" s="609" t="s">
        <v>6328</v>
      </c>
    </row>
    <row r="122" spans="1:1" x14ac:dyDescent="0.2">
      <c r="A122" t="s">
        <v>6622</v>
      </c>
    </row>
    <row r="123" spans="1:1" x14ac:dyDescent="0.2">
      <c r="A123" t="s">
        <v>6623</v>
      </c>
    </row>
    <row r="124" spans="1:1" x14ac:dyDescent="0.2">
      <c r="A124" t="s">
        <v>6624</v>
      </c>
    </row>
    <row r="125" spans="1:1" x14ac:dyDescent="0.2">
      <c r="A125" t="s">
        <v>6625</v>
      </c>
    </row>
    <row r="127" spans="1:1" x14ac:dyDescent="0.2">
      <c r="A127" s="609" t="s">
        <v>6287</v>
      </c>
    </row>
    <row r="128" spans="1:1" x14ac:dyDescent="0.2">
      <c r="A128" t="s">
        <v>6626</v>
      </c>
    </row>
    <row r="129" spans="1:1" x14ac:dyDescent="0.2">
      <c r="A129" t="s">
        <v>6627</v>
      </c>
    </row>
    <row r="130" spans="1:1" x14ac:dyDescent="0.2">
      <c r="A130" t="s">
        <v>6628</v>
      </c>
    </row>
    <row r="131" spans="1:1" x14ac:dyDescent="0.2">
      <c r="A131" t="s">
        <v>6629</v>
      </c>
    </row>
    <row r="133" spans="1:1" x14ac:dyDescent="0.2">
      <c r="A133" s="609" t="s">
        <v>6420</v>
      </c>
    </row>
    <row r="134" spans="1:1" x14ac:dyDescent="0.2">
      <c r="A134" t="s">
        <v>6630</v>
      </c>
    </row>
    <row r="135" spans="1:1" x14ac:dyDescent="0.2">
      <c r="A135" t="s">
        <v>6631</v>
      </c>
    </row>
    <row r="136" spans="1:1" x14ac:dyDescent="0.2">
      <c r="A136" t="s">
        <v>6632</v>
      </c>
    </row>
    <row r="137" spans="1:1" x14ac:dyDescent="0.2">
      <c r="A137" t="s">
        <v>6633</v>
      </c>
    </row>
    <row r="139" spans="1:1" x14ac:dyDescent="0.2">
      <c r="A139" s="609" t="s">
        <v>6634</v>
      </c>
    </row>
    <row r="140" spans="1:1" x14ac:dyDescent="0.2">
      <c r="A140" t="s">
        <v>6635</v>
      </c>
    </row>
    <row r="141" spans="1:1" x14ac:dyDescent="0.2">
      <c r="A141" t="s">
        <v>6636</v>
      </c>
    </row>
    <row r="143" spans="1:1" x14ac:dyDescent="0.2">
      <c r="A143" s="609" t="s">
        <v>6458</v>
      </c>
    </row>
    <row r="144" spans="1:1" x14ac:dyDescent="0.2">
      <c r="A144" t="s">
        <v>6637</v>
      </c>
    </row>
    <row r="145" spans="1:1" x14ac:dyDescent="0.2">
      <c r="A145" t="s">
        <v>6638</v>
      </c>
    </row>
    <row r="146" spans="1:1" x14ac:dyDescent="0.2">
      <c r="A146" t="s">
        <v>6639</v>
      </c>
    </row>
    <row r="148" spans="1:1" x14ac:dyDescent="0.2">
      <c r="A148" s="609" t="s">
        <v>6528</v>
      </c>
    </row>
    <row r="149" spans="1:1" x14ac:dyDescent="0.2">
      <c r="A149" t="s">
        <v>6640</v>
      </c>
    </row>
    <row r="150" spans="1:1" x14ac:dyDescent="0.2">
      <c r="A150" t="s">
        <v>6641</v>
      </c>
    </row>
    <row r="151" spans="1:1" x14ac:dyDescent="0.2">
      <c r="A151" t="s">
        <v>6642</v>
      </c>
    </row>
    <row r="152" spans="1:1" x14ac:dyDescent="0.2">
      <c r="A152" t="s">
        <v>6643</v>
      </c>
    </row>
    <row r="154" spans="1:1" x14ac:dyDescent="0.2">
      <c r="A154" s="609" t="s">
        <v>6467</v>
      </c>
    </row>
    <row r="155" spans="1:1" x14ac:dyDescent="0.2">
      <c r="A155" t="s">
        <v>6644</v>
      </c>
    </row>
    <row r="156" spans="1:1" x14ac:dyDescent="0.2">
      <c r="A156" t="s">
        <v>6645</v>
      </c>
    </row>
    <row r="159" spans="1:1" ht="18" x14ac:dyDescent="0.25">
      <c r="A159" s="838" t="s">
        <v>7204</v>
      </c>
    </row>
    <row r="160" spans="1:1" x14ac:dyDescent="0.2">
      <c r="A160" s="734" t="s">
        <v>7131</v>
      </c>
    </row>
    <row r="162" spans="1:1" x14ac:dyDescent="0.2">
      <c r="A162" s="839" t="s">
        <v>7132</v>
      </c>
    </row>
    <row r="163" spans="1:1" x14ac:dyDescent="0.2">
      <c r="A163" t="s">
        <v>7205</v>
      </c>
    </row>
    <row r="164" spans="1:1" x14ac:dyDescent="0.2">
      <c r="A164" t="s">
        <v>7206</v>
      </c>
    </row>
    <row r="165" spans="1:1" x14ac:dyDescent="0.2">
      <c r="A165" t="s">
        <v>7207</v>
      </c>
    </row>
    <row r="166" spans="1:1" x14ac:dyDescent="0.2">
      <c r="A166" t="s">
        <v>7208</v>
      </c>
    </row>
    <row r="167" spans="1:1" x14ac:dyDescent="0.2">
      <c r="A167" t="s">
        <v>7209</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9E7AC-0CF3-4364-BF40-8B555E0D823E}">
  <dimension ref="A1:E100"/>
  <sheetViews>
    <sheetView tabSelected="1" topLeftCell="A9" workbookViewId="0">
      <selection activeCell="C60" sqref="C60"/>
    </sheetView>
  </sheetViews>
  <sheetFormatPr defaultRowHeight="12.75" x14ac:dyDescent="0.2"/>
  <cols>
    <col min="1" max="1" width="137.140625" customWidth="1"/>
    <col min="2" max="2" width="28.5703125" customWidth="1"/>
    <col min="3" max="3" width="19" customWidth="1"/>
    <col min="4" max="4" width="47.5703125" customWidth="1"/>
    <col min="5" max="5" width="19" customWidth="1"/>
  </cols>
  <sheetData>
    <row r="1" spans="1:5" ht="18" x14ac:dyDescent="0.25">
      <c r="A1" s="470" t="s">
        <v>2783</v>
      </c>
    </row>
    <row r="2" spans="1:5" x14ac:dyDescent="0.2">
      <c r="A2" s="537" t="s">
        <v>2784</v>
      </c>
    </row>
    <row r="4" spans="1:5" ht="15.75" x14ac:dyDescent="0.25">
      <c r="A4" s="660" t="s">
        <v>2785</v>
      </c>
    </row>
    <row r="5" spans="1:5" x14ac:dyDescent="0.2">
      <c r="A5" s="484" t="s">
        <v>1383</v>
      </c>
      <c r="B5" s="609" t="s">
        <v>2786</v>
      </c>
      <c r="C5" s="713" t="s">
        <v>2787</v>
      </c>
      <c r="D5" s="720" t="s">
        <v>2788</v>
      </c>
      <c r="E5" s="484" t="s">
        <v>2789</v>
      </c>
    </row>
    <row r="6" spans="1:5" x14ac:dyDescent="0.2">
      <c r="A6" t="s">
        <v>2419</v>
      </c>
      <c r="B6" t="s">
        <v>2790</v>
      </c>
      <c r="C6" t="s">
        <v>2791</v>
      </c>
      <c r="D6" t="s">
        <v>1777</v>
      </c>
      <c r="E6" t="s">
        <v>2792</v>
      </c>
    </row>
    <row r="7" spans="1:5" x14ac:dyDescent="0.2">
      <c r="A7" t="s">
        <v>2793</v>
      </c>
      <c r="B7" t="s">
        <v>2794</v>
      </c>
      <c r="C7" t="s">
        <v>2795</v>
      </c>
      <c r="D7" t="s">
        <v>2794</v>
      </c>
      <c r="E7" t="s">
        <v>2792</v>
      </c>
    </row>
    <row r="8" spans="1:5" x14ac:dyDescent="0.2">
      <c r="A8" t="s">
        <v>2796</v>
      </c>
      <c r="B8" t="s">
        <v>2797</v>
      </c>
      <c r="C8" t="s">
        <v>2797</v>
      </c>
      <c r="D8" t="s">
        <v>2798</v>
      </c>
      <c r="E8" t="s">
        <v>2799</v>
      </c>
    </row>
    <row r="9" spans="1:5" x14ac:dyDescent="0.2">
      <c r="A9" t="s">
        <v>2423</v>
      </c>
      <c r="B9" t="s">
        <v>2800</v>
      </c>
      <c r="C9" t="s">
        <v>2801</v>
      </c>
      <c r="D9" t="s">
        <v>2802</v>
      </c>
      <c r="E9" t="s">
        <v>2799</v>
      </c>
    </row>
    <row r="10" spans="1:5" x14ac:dyDescent="0.2">
      <c r="A10" t="s">
        <v>2803</v>
      </c>
      <c r="B10" t="s">
        <v>2430</v>
      </c>
      <c r="C10" t="s">
        <v>2804</v>
      </c>
      <c r="D10" t="s">
        <v>2805</v>
      </c>
      <c r="E10" t="s">
        <v>2806</v>
      </c>
    </row>
    <row r="11" spans="1:5" x14ac:dyDescent="0.2">
      <c r="A11" t="s">
        <v>2807</v>
      </c>
      <c r="B11" t="s">
        <v>2808</v>
      </c>
      <c r="C11" t="s">
        <v>2809</v>
      </c>
      <c r="D11" t="s">
        <v>2808</v>
      </c>
      <c r="E11" t="s">
        <v>1566</v>
      </c>
    </row>
    <row r="12" spans="1:5" x14ac:dyDescent="0.2">
      <c r="A12" t="s">
        <v>2810</v>
      </c>
      <c r="B12" t="s">
        <v>2811</v>
      </c>
      <c r="C12" t="s">
        <v>2812</v>
      </c>
      <c r="D12" t="s">
        <v>2813</v>
      </c>
      <c r="E12" t="s">
        <v>1566</v>
      </c>
    </row>
    <row r="13" spans="1:5" x14ac:dyDescent="0.2">
      <c r="A13" t="s">
        <v>2814</v>
      </c>
      <c r="B13" t="s">
        <v>2815</v>
      </c>
      <c r="C13" t="s">
        <v>2816</v>
      </c>
      <c r="D13" t="s">
        <v>2817</v>
      </c>
      <c r="E13" t="s">
        <v>1566</v>
      </c>
    </row>
    <row r="14" spans="1:5" x14ac:dyDescent="0.2">
      <c r="A14" t="s">
        <v>2818</v>
      </c>
      <c r="B14" t="s">
        <v>2819</v>
      </c>
      <c r="C14" t="s">
        <v>2820</v>
      </c>
      <c r="D14" t="s">
        <v>2819</v>
      </c>
      <c r="E14" t="s">
        <v>1566</v>
      </c>
    </row>
    <row r="15" spans="1:5" x14ac:dyDescent="0.2">
      <c r="A15" t="s">
        <v>2821</v>
      </c>
      <c r="B15" t="s">
        <v>2822</v>
      </c>
      <c r="C15" t="s">
        <v>2823</v>
      </c>
      <c r="D15" t="s">
        <v>2822</v>
      </c>
      <c r="E15" t="s">
        <v>1566</v>
      </c>
    </row>
    <row r="17" spans="1:4" ht="15.75" x14ac:dyDescent="0.25">
      <c r="A17" s="699" t="s">
        <v>2824</v>
      </c>
    </row>
    <row r="18" spans="1:4" x14ac:dyDescent="0.2">
      <c r="A18" s="721" t="s">
        <v>2825</v>
      </c>
      <c r="B18" s="721" t="s">
        <v>1972</v>
      </c>
      <c r="C18" s="721" t="s">
        <v>1528</v>
      </c>
      <c r="D18" s="721" t="s">
        <v>2</v>
      </c>
    </row>
    <row r="19" spans="1:4" x14ac:dyDescent="0.2">
      <c r="A19" t="s">
        <v>2826</v>
      </c>
      <c r="B19" t="s">
        <v>2827</v>
      </c>
      <c r="C19" t="s">
        <v>2808</v>
      </c>
      <c r="D19" t="s">
        <v>2828</v>
      </c>
    </row>
    <row r="20" spans="1:4" x14ac:dyDescent="0.2">
      <c r="A20" t="s">
        <v>2829</v>
      </c>
      <c r="B20" t="s">
        <v>2830</v>
      </c>
      <c r="C20" t="s">
        <v>2831</v>
      </c>
      <c r="D20" t="s">
        <v>2832</v>
      </c>
    </row>
    <row r="21" spans="1:4" x14ac:dyDescent="0.2">
      <c r="A21" t="s">
        <v>2833</v>
      </c>
      <c r="B21" t="s">
        <v>2830</v>
      </c>
      <c r="C21" t="s">
        <v>2831</v>
      </c>
      <c r="D21" t="s">
        <v>2834</v>
      </c>
    </row>
    <row r="22" spans="1:4" x14ac:dyDescent="0.2">
      <c r="A22" t="s">
        <v>2835</v>
      </c>
      <c r="B22" t="s">
        <v>2836</v>
      </c>
      <c r="C22" t="s">
        <v>2831</v>
      </c>
      <c r="D22" t="s">
        <v>2837</v>
      </c>
    </row>
    <row r="23" spans="1:4" x14ac:dyDescent="0.2">
      <c r="A23" t="s">
        <v>2838</v>
      </c>
      <c r="B23" t="s">
        <v>2836</v>
      </c>
      <c r="C23" t="s">
        <v>2831</v>
      </c>
      <c r="D23" t="s">
        <v>2839</v>
      </c>
    </row>
    <row r="24" spans="1:4" x14ac:dyDescent="0.2">
      <c r="A24" t="s">
        <v>2840</v>
      </c>
      <c r="B24" t="s">
        <v>2841</v>
      </c>
      <c r="C24" t="s">
        <v>2435</v>
      </c>
      <c r="D24" t="s">
        <v>2842</v>
      </c>
    </row>
    <row r="25" spans="1:4" x14ac:dyDescent="0.2">
      <c r="A25" t="s">
        <v>2843</v>
      </c>
      <c r="B25" t="s">
        <v>2844</v>
      </c>
      <c r="C25" t="s">
        <v>2435</v>
      </c>
      <c r="D25" t="s">
        <v>2845</v>
      </c>
    </row>
    <row r="26" spans="1:4" x14ac:dyDescent="0.2">
      <c r="A26" t="s">
        <v>2846</v>
      </c>
      <c r="B26" t="s">
        <v>2847</v>
      </c>
      <c r="C26" t="s">
        <v>2848</v>
      </c>
      <c r="D26" t="s">
        <v>2849</v>
      </c>
    </row>
    <row r="27" spans="1:4" x14ac:dyDescent="0.2">
      <c r="A27" t="s">
        <v>2850</v>
      </c>
      <c r="B27" t="s">
        <v>2851</v>
      </c>
      <c r="C27" t="s">
        <v>2852</v>
      </c>
      <c r="D27" t="s">
        <v>2853</v>
      </c>
    </row>
    <row r="29" spans="1:4" ht="15.75" x14ac:dyDescent="0.25">
      <c r="A29" s="709" t="s">
        <v>2854</v>
      </c>
    </row>
    <row r="30" spans="1:4" x14ac:dyDescent="0.2">
      <c r="A30" s="722" t="s">
        <v>2825</v>
      </c>
      <c r="B30" s="722" t="s">
        <v>1972</v>
      </c>
      <c r="C30" s="722" t="s">
        <v>1528</v>
      </c>
      <c r="D30" s="722" t="s">
        <v>2</v>
      </c>
    </row>
    <row r="31" spans="1:4" x14ac:dyDescent="0.2">
      <c r="A31" t="s">
        <v>2855</v>
      </c>
      <c r="B31" t="s">
        <v>2856</v>
      </c>
      <c r="C31" t="s">
        <v>2808</v>
      </c>
      <c r="D31" t="s">
        <v>2857</v>
      </c>
    </row>
    <row r="32" spans="1:4" x14ac:dyDescent="0.2">
      <c r="A32" t="s">
        <v>2858</v>
      </c>
      <c r="B32" t="s">
        <v>2859</v>
      </c>
      <c r="C32" t="s">
        <v>2860</v>
      </c>
      <c r="D32" t="s">
        <v>2861</v>
      </c>
    </row>
    <row r="33" spans="1:4" x14ac:dyDescent="0.2">
      <c r="A33" t="s">
        <v>2862</v>
      </c>
      <c r="B33" t="s">
        <v>2863</v>
      </c>
      <c r="C33" t="s">
        <v>2864</v>
      </c>
      <c r="D33" t="s">
        <v>2865</v>
      </c>
    </row>
    <row r="34" spans="1:4" x14ac:dyDescent="0.2">
      <c r="A34" t="s">
        <v>2866</v>
      </c>
      <c r="B34" t="s">
        <v>2863</v>
      </c>
      <c r="C34" t="s">
        <v>2864</v>
      </c>
      <c r="D34" t="s">
        <v>2865</v>
      </c>
    </row>
    <row r="35" spans="1:4" x14ac:dyDescent="0.2">
      <c r="A35" t="s">
        <v>2867</v>
      </c>
      <c r="B35" t="s">
        <v>2868</v>
      </c>
      <c r="C35" t="s">
        <v>2435</v>
      </c>
      <c r="D35" t="s">
        <v>2869</v>
      </c>
    </row>
    <row r="36" spans="1:4" x14ac:dyDescent="0.2">
      <c r="A36" t="s">
        <v>2870</v>
      </c>
      <c r="B36" t="s">
        <v>2871</v>
      </c>
      <c r="C36" t="s">
        <v>2872</v>
      </c>
      <c r="D36" t="s">
        <v>2873</v>
      </c>
    </row>
    <row r="37" spans="1:4" x14ac:dyDescent="0.2">
      <c r="A37" t="s">
        <v>2874</v>
      </c>
      <c r="B37" t="s">
        <v>2875</v>
      </c>
      <c r="C37" t="s">
        <v>2876</v>
      </c>
      <c r="D37" t="s">
        <v>2877</v>
      </c>
    </row>
    <row r="39" spans="1:4" ht="15.75" x14ac:dyDescent="0.25">
      <c r="A39" s="718" t="s">
        <v>2878</v>
      </c>
    </row>
    <row r="40" spans="1:4" x14ac:dyDescent="0.2">
      <c r="A40" s="723" t="s">
        <v>2825</v>
      </c>
      <c r="B40" s="723" t="s">
        <v>1972</v>
      </c>
      <c r="C40" s="723" t="s">
        <v>1528</v>
      </c>
      <c r="D40" s="723" t="s">
        <v>2</v>
      </c>
    </row>
    <row r="41" spans="1:4" x14ac:dyDescent="0.2">
      <c r="A41" t="s">
        <v>2826</v>
      </c>
      <c r="B41" t="s">
        <v>2879</v>
      </c>
      <c r="C41" t="s">
        <v>2808</v>
      </c>
      <c r="D41" t="s">
        <v>2880</v>
      </c>
    </row>
    <row r="42" spans="1:4" x14ac:dyDescent="0.2">
      <c r="A42" t="s">
        <v>2881</v>
      </c>
      <c r="B42" t="s">
        <v>2882</v>
      </c>
      <c r="C42" t="s">
        <v>2808</v>
      </c>
      <c r="D42" t="s">
        <v>2883</v>
      </c>
    </row>
    <row r="43" spans="1:4" x14ac:dyDescent="0.2">
      <c r="A43" t="s">
        <v>2884</v>
      </c>
      <c r="B43" t="s">
        <v>2885</v>
      </c>
      <c r="C43" t="s">
        <v>2435</v>
      </c>
      <c r="D43" t="s">
        <v>2886</v>
      </c>
    </row>
    <row r="44" spans="1:4" x14ac:dyDescent="0.2">
      <c r="A44" t="s">
        <v>2840</v>
      </c>
      <c r="B44" t="s">
        <v>2887</v>
      </c>
      <c r="C44" t="s">
        <v>2435</v>
      </c>
      <c r="D44" t="s">
        <v>2888</v>
      </c>
    </row>
    <row r="45" spans="1:4" x14ac:dyDescent="0.2">
      <c r="A45" t="s">
        <v>2843</v>
      </c>
      <c r="B45" t="s">
        <v>2889</v>
      </c>
      <c r="C45" t="s">
        <v>2872</v>
      </c>
      <c r="D45" t="s">
        <v>2890</v>
      </c>
    </row>
    <row r="46" spans="1:4" x14ac:dyDescent="0.2">
      <c r="A46" t="s">
        <v>2891</v>
      </c>
      <c r="B46" t="s">
        <v>2892</v>
      </c>
      <c r="C46" t="s">
        <v>2893</v>
      </c>
      <c r="D46" t="s">
        <v>2894</v>
      </c>
    </row>
    <row r="48" spans="1:4" ht="15.75" x14ac:dyDescent="0.25">
      <c r="A48" s="667" t="s">
        <v>2895</v>
      </c>
    </row>
    <row r="49" spans="1:4" x14ac:dyDescent="0.2">
      <c r="A49" s="472" t="s">
        <v>1624</v>
      </c>
      <c r="B49" s="472" t="s">
        <v>2896</v>
      </c>
      <c r="C49" s="472" t="s">
        <v>2897</v>
      </c>
      <c r="D49" s="472" t="s">
        <v>2898</v>
      </c>
    </row>
    <row r="50" spans="1:4" x14ac:dyDescent="0.2">
      <c r="A50" t="s">
        <v>2899</v>
      </c>
      <c r="B50" t="s">
        <v>2900</v>
      </c>
      <c r="C50">
        <v>18000</v>
      </c>
      <c r="D50" t="s">
        <v>2901</v>
      </c>
    </row>
    <row r="51" spans="1:4" x14ac:dyDescent="0.2">
      <c r="A51" t="s">
        <v>2902</v>
      </c>
      <c r="B51" t="s">
        <v>1657</v>
      </c>
      <c r="C51">
        <v>18000</v>
      </c>
      <c r="D51" t="s">
        <v>2903</v>
      </c>
    </row>
    <row r="52" spans="1:4" x14ac:dyDescent="0.2">
      <c r="A52" t="s">
        <v>2826</v>
      </c>
      <c r="B52" t="s">
        <v>2904</v>
      </c>
      <c r="C52">
        <v>16000</v>
      </c>
      <c r="D52" t="s">
        <v>2905</v>
      </c>
    </row>
    <row r="53" spans="1:4" x14ac:dyDescent="0.2">
      <c r="A53" t="s">
        <v>2840</v>
      </c>
      <c r="B53" t="s">
        <v>1657</v>
      </c>
      <c r="C53">
        <v>18000</v>
      </c>
      <c r="D53" t="s">
        <v>2906</v>
      </c>
    </row>
    <row r="54" spans="1:4" x14ac:dyDescent="0.2">
      <c r="A54" t="s">
        <v>2907</v>
      </c>
      <c r="B54" t="s">
        <v>2908</v>
      </c>
      <c r="C54">
        <v>14000</v>
      </c>
      <c r="D54" t="s">
        <v>2909</v>
      </c>
    </row>
    <row r="55" spans="1:4" x14ac:dyDescent="0.2">
      <c r="A55" t="s">
        <v>2910</v>
      </c>
      <c r="B55" t="s">
        <v>2911</v>
      </c>
      <c r="C55">
        <v>8000</v>
      </c>
      <c r="D55" t="s">
        <v>2912</v>
      </c>
    </row>
    <row r="56" spans="1:4" x14ac:dyDescent="0.2">
      <c r="A56" t="s">
        <v>2913</v>
      </c>
      <c r="B56" t="s">
        <v>2914</v>
      </c>
      <c r="C56" t="s">
        <v>2915</v>
      </c>
      <c r="D56" t="s">
        <v>2916</v>
      </c>
    </row>
    <row r="58" spans="1:4" ht="15.75" x14ac:dyDescent="0.25">
      <c r="A58" s="668" t="s">
        <v>1532</v>
      </c>
    </row>
    <row r="59" spans="1:4" x14ac:dyDescent="0.2">
      <c r="A59" t="s">
        <v>2917</v>
      </c>
    </row>
    <row r="60" spans="1:4" x14ac:dyDescent="0.2">
      <c r="A60" t="s">
        <v>2918</v>
      </c>
    </row>
    <row r="61" spans="1:4" x14ac:dyDescent="0.2">
      <c r="A61" t="s">
        <v>2919</v>
      </c>
    </row>
    <row r="62" spans="1:4" x14ac:dyDescent="0.2">
      <c r="A62" t="s">
        <v>2920</v>
      </c>
    </row>
    <row r="63" spans="1:4" x14ac:dyDescent="0.2">
      <c r="A63" t="s">
        <v>2921</v>
      </c>
    </row>
    <row r="64" spans="1:4" x14ac:dyDescent="0.2">
      <c r="A64" t="s">
        <v>2922</v>
      </c>
    </row>
    <row r="65" spans="1:1" x14ac:dyDescent="0.2">
      <c r="A65" t="s">
        <v>2923</v>
      </c>
    </row>
    <row r="66" spans="1:1" x14ac:dyDescent="0.2">
      <c r="A66" t="s">
        <v>2924</v>
      </c>
    </row>
    <row r="69" spans="1:1" ht="18" x14ac:dyDescent="0.25">
      <c r="A69" s="833" t="s">
        <v>7120</v>
      </c>
    </row>
    <row r="70" spans="1:1" x14ac:dyDescent="0.2">
      <c r="A70" s="734" t="s">
        <v>7121</v>
      </c>
    </row>
    <row r="72" spans="1:1" x14ac:dyDescent="0.2">
      <c r="A72" s="609" t="s">
        <v>7088</v>
      </c>
    </row>
    <row r="73" spans="1:1" x14ac:dyDescent="0.2">
      <c r="A73" t="s">
        <v>7122</v>
      </c>
    </row>
    <row r="75" spans="1:1" x14ac:dyDescent="0.2">
      <c r="A75" s="609" t="s">
        <v>7123</v>
      </c>
    </row>
    <row r="76" spans="1:1" x14ac:dyDescent="0.2">
      <c r="A76" t="s">
        <v>7124</v>
      </c>
    </row>
    <row r="77" spans="1:1" x14ac:dyDescent="0.2">
      <c r="A77" t="s">
        <v>7125</v>
      </c>
    </row>
    <row r="79" spans="1:1" x14ac:dyDescent="0.2">
      <c r="A79" s="609" t="s">
        <v>7126</v>
      </c>
    </row>
    <row r="80" spans="1:1" x14ac:dyDescent="0.2">
      <c r="A80" t="s">
        <v>7127</v>
      </c>
    </row>
    <row r="81" spans="1:1" x14ac:dyDescent="0.2">
      <c r="A81" t="s">
        <v>7128</v>
      </c>
    </row>
    <row r="83" spans="1:1" x14ac:dyDescent="0.2">
      <c r="A83" s="609" t="s">
        <v>7096</v>
      </c>
    </row>
    <row r="84" spans="1:1" x14ac:dyDescent="0.2">
      <c r="A84" t="s">
        <v>7129</v>
      </c>
    </row>
    <row r="89" spans="1:1" ht="18" x14ac:dyDescent="0.25">
      <c r="A89" s="838" t="s">
        <v>7478</v>
      </c>
    </row>
    <row r="90" spans="1:1" x14ac:dyDescent="0.2">
      <c r="A90" s="734" t="s">
        <v>7479</v>
      </c>
    </row>
    <row r="92" spans="1:1" x14ac:dyDescent="0.2">
      <c r="A92" s="839" t="s">
        <v>7297</v>
      </c>
    </row>
    <row r="93" spans="1:1" x14ac:dyDescent="0.2">
      <c r="A93" s="842" t="s">
        <v>7480</v>
      </c>
    </row>
    <row r="94" spans="1:1" x14ac:dyDescent="0.2">
      <c r="A94" t="s">
        <v>7481</v>
      </c>
    </row>
    <row r="95" spans="1:1" x14ac:dyDescent="0.2">
      <c r="A95" t="s">
        <v>7482</v>
      </c>
    </row>
    <row r="97" spans="1:1" x14ac:dyDescent="0.2">
      <c r="A97" s="839" t="s">
        <v>7259</v>
      </c>
    </row>
    <row r="98" spans="1:1" x14ac:dyDescent="0.2">
      <c r="A98" s="842" t="s">
        <v>7483</v>
      </c>
    </row>
    <row r="99" spans="1:1" x14ac:dyDescent="0.2">
      <c r="A99" t="s">
        <v>7484</v>
      </c>
    </row>
    <row r="100" spans="1:1" x14ac:dyDescent="0.2">
      <c r="A100" t="s">
        <v>7485</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CAFA5-042D-4E6E-9BB1-83C30F7A0464}">
  <dimension ref="A1:I176"/>
  <sheetViews>
    <sheetView workbookViewId="0">
      <selection activeCell="U88" sqref="U88"/>
    </sheetView>
  </sheetViews>
  <sheetFormatPr defaultRowHeight="12.75" x14ac:dyDescent="0.2"/>
  <cols>
    <col min="1" max="1" width="137.140625" customWidth="1"/>
    <col min="2" max="2" width="14.28515625" customWidth="1"/>
    <col min="3" max="3" width="11.42578125" customWidth="1"/>
    <col min="4" max="5" width="12.42578125" customWidth="1"/>
    <col min="6" max="6" width="11.42578125" customWidth="1"/>
    <col min="7" max="8" width="10.42578125" customWidth="1"/>
    <col min="9" max="9" width="19" customWidth="1"/>
  </cols>
  <sheetData>
    <row r="1" spans="1:9" ht="18" x14ac:dyDescent="0.25">
      <c r="A1" s="470" t="s">
        <v>2925</v>
      </c>
    </row>
    <row r="2" spans="1:9" x14ac:dyDescent="0.2">
      <c r="A2" s="537" t="s">
        <v>2926</v>
      </c>
    </row>
    <row r="4" spans="1:9" ht="15.75" x14ac:dyDescent="0.25">
      <c r="A4" s="660" t="s">
        <v>2675</v>
      </c>
      <c r="D4" s="718" t="s">
        <v>2685</v>
      </c>
    </row>
    <row r="5" spans="1:9" x14ac:dyDescent="0.2">
      <c r="A5" s="472" t="s">
        <v>2676</v>
      </c>
      <c r="B5" s="564">
        <v>20</v>
      </c>
      <c r="D5" t="s">
        <v>2687</v>
      </c>
      <c r="E5">
        <v>170</v>
      </c>
      <c r="F5" t="s">
        <v>2935</v>
      </c>
    </row>
    <row r="6" spans="1:9" x14ac:dyDescent="0.2">
      <c r="A6" s="472" t="s">
        <v>2677</v>
      </c>
      <c r="B6" s="596">
        <v>0.875</v>
      </c>
      <c r="D6" t="s">
        <v>618</v>
      </c>
      <c r="E6">
        <v>340</v>
      </c>
      <c r="F6" t="s">
        <v>2936</v>
      </c>
    </row>
    <row r="7" spans="1:9" x14ac:dyDescent="0.2">
      <c r="A7" s="472" t="s">
        <v>2927</v>
      </c>
      <c r="B7" s="469">
        <f>180/B5</f>
        <v>9</v>
      </c>
      <c r="C7" s="598" t="s">
        <v>2928</v>
      </c>
      <c r="D7" t="s">
        <v>2688</v>
      </c>
      <c r="E7">
        <v>170</v>
      </c>
      <c r="F7" t="s">
        <v>2935</v>
      </c>
    </row>
    <row r="8" spans="1:9" x14ac:dyDescent="0.2">
      <c r="A8" s="472" t="s">
        <v>2680</v>
      </c>
      <c r="B8" s="482">
        <f>B6*34</f>
        <v>29.75</v>
      </c>
      <c r="D8" t="s">
        <v>2689</v>
      </c>
      <c r="E8" s="472">
        <f>SUM(E5:E7)</f>
        <v>680</v>
      </c>
    </row>
    <row r="9" spans="1:9" x14ac:dyDescent="0.2">
      <c r="A9" s="472" t="s">
        <v>2929</v>
      </c>
      <c r="B9" t="s">
        <v>2930</v>
      </c>
    </row>
    <row r="10" spans="1:9" x14ac:dyDescent="0.2">
      <c r="A10" s="472" t="s">
        <v>2931</v>
      </c>
      <c r="B10" t="s">
        <v>2932</v>
      </c>
    </row>
    <row r="11" spans="1:9" x14ac:dyDescent="0.2">
      <c r="A11" s="472" t="s">
        <v>2933</v>
      </c>
      <c r="B11" t="s">
        <v>2934</v>
      </c>
    </row>
    <row r="12" spans="1:9" x14ac:dyDescent="0.2">
      <c r="A12" s="472" t="s">
        <v>2684</v>
      </c>
      <c r="B12" s="472">
        <f>B5*34</f>
        <v>680</v>
      </c>
    </row>
    <row r="14" spans="1:9" ht="15.75" x14ac:dyDescent="0.25">
      <c r="A14" s="663" t="s">
        <v>2692</v>
      </c>
    </row>
    <row r="15" spans="1:9" x14ac:dyDescent="0.2">
      <c r="A15" s="484" t="s">
        <v>2693</v>
      </c>
      <c r="B15" s="484" t="s">
        <v>2937</v>
      </c>
      <c r="C15" s="484" t="s">
        <v>2696</v>
      </c>
      <c r="D15" s="484" t="s">
        <v>2694</v>
      </c>
      <c r="E15" s="484" t="s">
        <v>2695</v>
      </c>
      <c r="F15" s="484" t="s">
        <v>2687</v>
      </c>
      <c r="G15" s="484" t="s">
        <v>618</v>
      </c>
      <c r="H15" s="484" t="s">
        <v>2698</v>
      </c>
      <c r="I15" s="484" t="s">
        <v>2699</v>
      </c>
    </row>
    <row r="16" spans="1:9" x14ac:dyDescent="0.2">
      <c r="A16" s="626">
        <v>1</v>
      </c>
      <c r="B16" s="469">
        <v>8.25</v>
      </c>
      <c r="C16" s="482">
        <v>1.31</v>
      </c>
      <c r="D16" s="469">
        <v>1.35</v>
      </c>
      <c r="E16" s="469">
        <v>24.6</v>
      </c>
      <c r="F16" s="724">
        <v>5</v>
      </c>
      <c r="G16" s="725">
        <v>10</v>
      </c>
      <c r="H16" s="551">
        <v>5</v>
      </c>
      <c r="I16" s="537" t="s">
        <v>2938</v>
      </c>
    </row>
    <row r="17" spans="1:9" x14ac:dyDescent="0.2">
      <c r="A17" s="626">
        <v>2</v>
      </c>
      <c r="B17" s="469">
        <v>8.56</v>
      </c>
      <c r="C17" s="482">
        <v>1.36</v>
      </c>
      <c r="D17" s="469">
        <v>1.35</v>
      </c>
      <c r="E17" s="469">
        <v>26.67</v>
      </c>
      <c r="F17" s="724">
        <v>5</v>
      </c>
      <c r="G17" s="725">
        <v>10</v>
      </c>
      <c r="H17" s="551">
        <v>5</v>
      </c>
      <c r="I17" s="537" t="s">
        <v>2938</v>
      </c>
    </row>
    <row r="18" spans="1:9" x14ac:dyDescent="0.2">
      <c r="A18" s="626">
        <v>3</v>
      </c>
      <c r="B18" s="469">
        <v>9.09</v>
      </c>
      <c r="C18" s="482">
        <v>1.44</v>
      </c>
      <c r="D18" s="469">
        <v>1.1599999999999999</v>
      </c>
      <c r="E18" s="469">
        <v>27.8</v>
      </c>
      <c r="F18" s="724">
        <v>5</v>
      </c>
      <c r="G18" s="725">
        <v>10</v>
      </c>
      <c r="H18" s="551">
        <v>5</v>
      </c>
      <c r="I18" s="537" t="s">
        <v>2938</v>
      </c>
    </row>
    <row r="19" spans="1:9" x14ac:dyDescent="0.2">
      <c r="A19" s="626">
        <v>4</v>
      </c>
      <c r="B19" s="469">
        <v>9.66</v>
      </c>
      <c r="C19" s="482">
        <v>1.53</v>
      </c>
      <c r="D19" s="469">
        <v>1.23</v>
      </c>
      <c r="E19" s="469">
        <v>29.38</v>
      </c>
      <c r="F19" s="724">
        <v>5</v>
      </c>
      <c r="G19" s="725">
        <v>10</v>
      </c>
      <c r="H19" s="551">
        <v>5</v>
      </c>
      <c r="I19" s="537" t="s">
        <v>2938</v>
      </c>
    </row>
    <row r="20" spans="1:9" x14ac:dyDescent="0.2">
      <c r="A20" s="626">
        <v>5</v>
      </c>
      <c r="B20" s="469">
        <v>10.24</v>
      </c>
      <c r="C20" s="482">
        <v>1.62</v>
      </c>
      <c r="D20" s="469">
        <v>1.35</v>
      </c>
      <c r="E20" s="469">
        <v>30.99</v>
      </c>
      <c r="F20" s="724">
        <v>5</v>
      </c>
      <c r="G20" s="725">
        <v>10</v>
      </c>
      <c r="H20" s="551">
        <v>5</v>
      </c>
      <c r="I20" s="537" t="s">
        <v>2938</v>
      </c>
    </row>
    <row r="21" spans="1:9" x14ac:dyDescent="0.2">
      <c r="A21" s="626">
        <v>6</v>
      </c>
      <c r="B21" s="469">
        <v>10.79</v>
      </c>
      <c r="C21" s="482">
        <v>1.71</v>
      </c>
      <c r="D21" s="469">
        <v>1.35</v>
      </c>
      <c r="E21" s="469">
        <v>32.56</v>
      </c>
      <c r="F21" s="724">
        <v>5</v>
      </c>
      <c r="G21" s="725">
        <v>10</v>
      </c>
      <c r="H21" s="551">
        <v>5</v>
      </c>
      <c r="I21" s="537" t="s">
        <v>2939</v>
      </c>
    </row>
    <row r="22" spans="1:9" x14ac:dyDescent="0.2">
      <c r="A22" s="626">
        <v>7</v>
      </c>
      <c r="B22" s="469">
        <v>11.31</v>
      </c>
      <c r="C22" s="482">
        <v>1.79</v>
      </c>
      <c r="D22" s="469">
        <v>1.39</v>
      </c>
      <c r="E22" s="469">
        <v>34.130000000000003</v>
      </c>
      <c r="F22" s="724">
        <v>5</v>
      </c>
      <c r="G22" s="725">
        <v>10</v>
      </c>
      <c r="H22" s="551">
        <v>5</v>
      </c>
      <c r="I22" s="537" t="s">
        <v>2939</v>
      </c>
    </row>
    <row r="23" spans="1:9" x14ac:dyDescent="0.2">
      <c r="A23" s="626">
        <v>8</v>
      </c>
      <c r="B23" s="469">
        <v>11.77</v>
      </c>
      <c r="C23" s="482">
        <v>1.86</v>
      </c>
      <c r="D23" s="469">
        <v>1.41</v>
      </c>
      <c r="E23" s="469">
        <v>35.54</v>
      </c>
      <c r="F23" s="724">
        <v>5</v>
      </c>
      <c r="G23" s="725">
        <v>10</v>
      </c>
      <c r="H23" s="551">
        <v>5</v>
      </c>
      <c r="I23" s="537" t="s">
        <v>2939</v>
      </c>
    </row>
    <row r="24" spans="1:9" x14ac:dyDescent="0.2">
      <c r="A24" s="626">
        <v>9</v>
      </c>
      <c r="B24" s="469">
        <v>12.22</v>
      </c>
      <c r="C24" s="482">
        <v>1.93</v>
      </c>
      <c r="D24" s="469">
        <v>1.43</v>
      </c>
      <c r="E24" s="469">
        <v>36.9</v>
      </c>
      <c r="F24" s="724">
        <v>5</v>
      </c>
      <c r="G24" s="725">
        <v>10</v>
      </c>
      <c r="H24" s="551">
        <v>5</v>
      </c>
      <c r="I24" s="537" t="s">
        <v>2939</v>
      </c>
    </row>
    <row r="25" spans="1:9" x14ac:dyDescent="0.2">
      <c r="A25" s="626">
        <v>10</v>
      </c>
      <c r="B25" s="469">
        <v>12.61</v>
      </c>
      <c r="C25" s="482">
        <v>2</v>
      </c>
      <c r="D25" s="469">
        <v>1.4</v>
      </c>
      <c r="E25" s="469">
        <v>38.229999999999997</v>
      </c>
      <c r="F25" s="724">
        <v>5</v>
      </c>
      <c r="G25" s="725">
        <v>10</v>
      </c>
      <c r="H25" s="551">
        <v>5</v>
      </c>
      <c r="I25" s="537" t="s">
        <v>2939</v>
      </c>
    </row>
    <row r="26" spans="1:9" x14ac:dyDescent="0.2">
      <c r="A26" s="626">
        <v>11</v>
      </c>
      <c r="B26" s="469">
        <v>12.95</v>
      </c>
      <c r="C26" s="482">
        <v>2.0499999999999998</v>
      </c>
      <c r="D26" s="469">
        <v>1.35</v>
      </c>
      <c r="E26" s="469">
        <v>39.450000000000003</v>
      </c>
      <c r="F26" s="724">
        <v>5</v>
      </c>
      <c r="G26" s="725">
        <v>10</v>
      </c>
      <c r="H26" s="551">
        <v>5</v>
      </c>
      <c r="I26" s="537" t="s">
        <v>2939</v>
      </c>
    </row>
    <row r="27" spans="1:9" x14ac:dyDescent="0.2">
      <c r="A27" s="626">
        <v>12</v>
      </c>
      <c r="B27" s="469">
        <v>13.27</v>
      </c>
      <c r="C27" s="482">
        <v>2.1</v>
      </c>
      <c r="D27" s="469">
        <v>1.31</v>
      </c>
      <c r="E27" s="469">
        <v>40.61</v>
      </c>
      <c r="F27" s="724">
        <v>5</v>
      </c>
      <c r="G27" s="725">
        <v>10</v>
      </c>
      <c r="H27" s="551">
        <v>5</v>
      </c>
      <c r="I27" s="537" t="s">
        <v>2939</v>
      </c>
    </row>
    <row r="28" spans="1:9" x14ac:dyDescent="0.2">
      <c r="A28" s="626">
        <v>13</v>
      </c>
      <c r="B28" s="469">
        <v>13.59</v>
      </c>
      <c r="C28" s="482">
        <v>2.15</v>
      </c>
      <c r="D28" s="469">
        <v>1.3</v>
      </c>
      <c r="E28" s="469">
        <v>41.64</v>
      </c>
      <c r="F28" s="724">
        <v>5</v>
      </c>
      <c r="G28" s="725">
        <v>10</v>
      </c>
      <c r="H28" s="551">
        <v>5</v>
      </c>
      <c r="I28" s="537" t="s">
        <v>2939</v>
      </c>
    </row>
    <row r="29" spans="1:9" x14ac:dyDescent="0.2">
      <c r="A29" s="626">
        <v>14</v>
      </c>
      <c r="B29" s="469">
        <v>13.9</v>
      </c>
      <c r="C29" s="482">
        <v>2.2000000000000002</v>
      </c>
      <c r="D29" s="469">
        <v>1.31</v>
      </c>
      <c r="E29" s="469">
        <v>42.57</v>
      </c>
      <c r="F29" s="724">
        <v>5</v>
      </c>
      <c r="G29" s="725">
        <v>10</v>
      </c>
      <c r="H29" s="551">
        <v>5</v>
      </c>
      <c r="I29" s="537" t="s">
        <v>2940</v>
      </c>
    </row>
    <row r="30" spans="1:9" x14ac:dyDescent="0.2">
      <c r="A30" s="626">
        <v>15</v>
      </c>
      <c r="B30" s="469">
        <v>14.15</v>
      </c>
      <c r="C30" s="482">
        <v>2.2400000000000002</v>
      </c>
      <c r="D30" s="469">
        <v>1.35</v>
      </c>
      <c r="E30" s="469">
        <v>43.31</v>
      </c>
      <c r="F30" s="724">
        <v>5</v>
      </c>
      <c r="G30" s="725">
        <v>10</v>
      </c>
      <c r="H30" s="551">
        <v>5</v>
      </c>
      <c r="I30" s="537" t="s">
        <v>2940</v>
      </c>
    </row>
    <row r="31" spans="1:9" x14ac:dyDescent="0.2">
      <c r="A31" s="626">
        <v>16</v>
      </c>
      <c r="B31" s="469">
        <v>14.35</v>
      </c>
      <c r="C31" s="482">
        <v>2.27</v>
      </c>
      <c r="D31" s="469">
        <v>1.35</v>
      </c>
      <c r="E31" s="469">
        <v>43.94</v>
      </c>
      <c r="F31" s="724">
        <v>5</v>
      </c>
      <c r="G31" s="725">
        <v>10</v>
      </c>
      <c r="H31" s="551">
        <v>5</v>
      </c>
      <c r="I31" s="537" t="s">
        <v>2940</v>
      </c>
    </row>
    <row r="32" spans="1:9" x14ac:dyDescent="0.2">
      <c r="A32" s="626">
        <v>17</v>
      </c>
      <c r="B32" s="469">
        <v>14.56</v>
      </c>
      <c r="C32" s="482">
        <v>2.31</v>
      </c>
      <c r="D32" s="469">
        <v>1.37</v>
      </c>
      <c r="E32" s="469">
        <v>44.5</v>
      </c>
      <c r="F32" s="724">
        <v>5</v>
      </c>
      <c r="G32" s="725">
        <v>10</v>
      </c>
      <c r="H32" s="551">
        <v>5</v>
      </c>
      <c r="I32" s="537" t="s">
        <v>2940</v>
      </c>
    </row>
    <row r="33" spans="1:9" x14ac:dyDescent="0.2">
      <c r="A33" s="626">
        <v>18</v>
      </c>
      <c r="B33" s="469">
        <v>14.73</v>
      </c>
      <c r="C33" s="482">
        <v>2.33</v>
      </c>
      <c r="D33" s="469">
        <v>1.39</v>
      </c>
      <c r="E33" s="469">
        <v>44.98</v>
      </c>
      <c r="F33" s="724">
        <v>5</v>
      </c>
      <c r="G33" s="725">
        <v>10</v>
      </c>
      <c r="H33" s="551">
        <v>5</v>
      </c>
      <c r="I33" s="537" t="s">
        <v>2940</v>
      </c>
    </row>
    <row r="34" spans="1:9" x14ac:dyDescent="0.2">
      <c r="A34" s="626">
        <v>19</v>
      </c>
      <c r="B34" s="469">
        <v>14.84</v>
      </c>
      <c r="C34" s="482">
        <v>2.35</v>
      </c>
      <c r="D34" s="469">
        <v>1.39</v>
      </c>
      <c r="E34" s="469">
        <v>45.33</v>
      </c>
      <c r="F34" s="724">
        <v>5</v>
      </c>
      <c r="G34" s="725">
        <v>10</v>
      </c>
      <c r="H34" s="551">
        <v>5</v>
      </c>
      <c r="I34" s="537" t="s">
        <v>2940</v>
      </c>
    </row>
    <row r="35" spans="1:9" x14ac:dyDescent="0.2">
      <c r="A35" s="626">
        <v>20</v>
      </c>
      <c r="B35" s="469">
        <v>14.91</v>
      </c>
      <c r="C35" s="482">
        <v>2.36</v>
      </c>
      <c r="D35" s="469">
        <v>1.35</v>
      </c>
      <c r="E35" s="469">
        <v>45.61</v>
      </c>
      <c r="F35" s="724">
        <v>5</v>
      </c>
      <c r="G35" s="725">
        <v>10</v>
      </c>
      <c r="H35" s="551">
        <v>5</v>
      </c>
      <c r="I35" s="537" t="s">
        <v>2940</v>
      </c>
    </row>
    <row r="36" spans="1:9" x14ac:dyDescent="0.2">
      <c r="A36" s="634">
        <v>21</v>
      </c>
      <c r="B36" s="542">
        <v>14.97</v>
      </c>
      <c r="C36" s="726">
        <v>2.37</v>
      </c>
      <c r="D36" s="542">
        <v>1.35</v>
      </c>
      <c r="E36" s="542">
        <v>45.76</v>
      </c>
      <c r="F36" s="727">
        <v>5</v>
      </c>
      <c r="G36" s="728">
        <v>10</v>
      </c>
      <c r="H36" s="541">
        <v>5</v>
      </c>
      <c r="I36" s="563" t="s">
        <v>2941</v>
      </c>
    </row>
    <row r="37" spans="1:9" x14ac:dyDescent="0.2">
      <c r="A37" s="626">
        <v>22</v>
      </c>
      <c r="B37" s="469">
        <v>14.96</v>
      </c>
      <c r="C37" s="482">
        <v>2.37</v>
      </c>
      <c r="D37" s="469">
        <v>1.35</v>
      </c>
      <c r="E37" s="469">
        <v>45.81</v>
      </c>
      <c r="F37" s="724">
        <v>5</v>
      </c>
      <c r="G37" s="725">
        <v>10</v>
      </c>
      <c r="H37" s="551">
        <v>5</v>
      </c>
      <c r="I37" s="537" t="s">
        <v>2942</v>
      </c>
    </row>
    <row r="38" spans="1:9" x14ac:dyDescent="0.2">
      <c r="A38" s="626">
        <v>23</v>
      </c>
      <c r="B38" s="469">
        <v>14.92</v>
      </c>
      <c r="C38" s="482">
        <v>2.36</v>
      </c>
      <c r="D38" s="469">
        <v>1.35</v>
      </c>
      <c r="E38" s="469">
        <v>45.68</v>
      </c>
      <c r="F38" s="724">
        <v>5</v>
      </c>
      <c r="G38" s="725">
        <v>10</v>
      </c>
      <c r="H38" s="551">
        <v>5</v>
      </c>
      <c r="I38" s="537" t="s">
        <v>2942</v>
      </c>
    </row>
    <row r="39" spans="1:9" x14ac:dyDescent="0.2">
      <c r="A39" s="626">
        <v>24</v>
      </c>
      <c r="B39" s="469">
        <v>14.9</v>
      </c>
      <c r="C39" s="482">
        <v>2.36</v>
      </c>
      <c r="D39" s="469">
        <v>1.35</v>
      </c>
      <c r="E39" s="469">
        <v>45.54</v>
      </c>
      <c r="F39" s="724">
        <v>5</v>
      </c>
      <c r="G39" s="725">
        <v>10</v>
      </c>
      <c r="H39" s="551">
        <v>5</v>
      </c>
      <c r="I39" s="537" t="s">
        <v>2942</v>
      </c>
    </row>
    <row r="40" spans="1:9" x14ac:dyDescent="0.2">
      <c r="A40" s="626">
        <v>25</v>
      </c>
      <c r="B40" s="469">
        <v>14.81</v>
      </c>
      <c r="C40" s="482">
        <v>2.35</v>
      </c>
      <c r="D40" s="469">
        <v>1.35</v>
      </c>
      <c r="E40" s="469">
        <v>45.27</v>
      </c>
      <c r="F40" s="724">
        <v>5</v>
      </c>
      <c r="G40" s="725">
        <v>10</v>
      </c>
      <c r="H40" s="551">
        <v>5</v>
      </c>
      <c r="I40" s="537" t="s">
        <v>2942</v>
      </c>
    </row>
    <row r="41" spans="1:9" x14ac:dyDescent="0.2">
      <c r="A41" s="626">
        <v>26</v>
      </c>
      <c r="B41" s="469">
        <v>14.73</v>
      </c>
      <c r="C41" s="482">
        <v>2.33</v>
      </c>
      <c r="D41" s="469">
        <v>1.4</v>
      </c>
      <c r="E41" s="469">
        <v>44.93</v>
      </c>
      <c r="F41" s="724">
        <v>5</v>
      </c>
      <c r="G41" s="725">
        <v>10</v>
      </c>
      <c r="H41" s="551">
        <v>5</v>
      </c>
      <c r="I41" s="537" t="s">
        <v>2942</v>
      </c>
    </row>
    <row r="42" spans="1:9" x14ac:dyDescent="0.2">
      <c r="A42" s="626">
        <v>27</v>
      </c>
      <c r="B42" s="469">
        <v>14.6</v>
      </c>
      <c r="C42" s="482">
        <v>2.31</v>
      </c>
      <c r="D42" s="469">
        <v>1.45</v>
      </c>
      <c r="E42" s="469">
        <v>44.41</v>
      </c>
      <c r="F42" s="724">
        <v>5</v>
      </c>
      <c r="G42" s="725">
        <v>10</v>
      </c>
      <c r="H42" s="551">
        <v>5</v>
      </c>
      <c r="I42" s="537" t="s">
        <v>2942</v>
      </c>
    </row>
    <row r="43" spans="1:9" x14ac:dyDescent="0.2">
      <c r="A43" s="626">
        <v>28</v>
      </c>
      <c r="B43" s="469">
        <v>14.46</v>
      </c>
      <c r="C43" s="482">
        <v>2.29</v>
      </c>
      <c r="D43" s="469">
        <v>1.5</v>
      </c>
      <c r="E43" s="469">
        <v>43.73</v>
      </c>
      <c r="F43" s="724">
        <v>5</v>
      </c>
      <c r="G43" s="725">
        <v>10</v>
      </c>
      <c r="H43" s="551">
        <v>5</v>
      </c>
      <c r="I43" s="537" t="s">
        <v>2942</v>
      </c>
    </row>
    <row r="44" spans="1:9" x14ac:dyDescent="0.2">
      <c r="A44" s="626">
        <v>29</v>
      </c>
      <c r="B44" s="469">
        <v>14.24</v>
      </c>
      <c r="C44" s="482">
        <v>2.2599999999999998</v>
      </c>
      <c r="D44" s="469">
        <v>1.55</v>
      </c>
      <c r="E44" s="469">
        <v>42.9</v>
      </c>
      <c r="F44" s="724">
        <v>5</v>
      </c>
      <c r="G44" s="725">
        <v>10</v>
      </c>
      <c r="H44" s="551">
        <v>5</v>
      </c>
      <c r="I44" s="537" t="s">
        <v>2943</v>
      </c>
    </row>
    <row r="45" spans="1:9" x14ac:dyDescent="0.2">
      <c r="A45" s="626">
        <v>30</v>
      </c>
      <c r="B45" s="469">
        <v>13.95</v>
      </c>
      <c r="C45" s="482">
        <v>2.21</v>
      </c>
      <c r="D45" s="469">
        <v>1.6</v>
      </c>
      <c r="E45" s="469">
        <v>41.82</v>
      </c>
      <c r="F45" s="724">
        <v>5</v>
      </c>
      <c r="G45" s="725">
        <v>10</v>
      </c>
      <c r="H45" s="551">
        <v>5</v>
      </c>
      <c r="I45" s="537" t="s">
        <v>2943</v>
      </c>
    </row>
    <row r="46" spans="1:9" x14ac:dyDescent="0.2">
      <c r="A46" s="626">
        <v>31</v>
      </c>
      <c r="B46" s="469">
        <v>13.64</v>
      </c>
      <c r="C46" s="482">
        <v>2.16</v>
      </c>
      <c r="D46" s="469">
        <v>1.65</v>
      </c>
      <c r="E46" s="469">
        <v>40.700000000000003</v>
      </c>
      <c r="F46" s="724">
        <v>5</v>
      </c>
      <c r="G46" s="725">
        <v>10</v>
      </c>
      <c r="H46" s="551">
        <v>5</v>
      </c>
      <c r="I46" s="537" t="s">
        <v>2943</v>
      </c>
    </row>
    <row r="47" spans="1:9" x14ac:dyDescent="0.2">
      <c r="A47" s="626">
        <v>32</v>
      </c>
      <c r="B47" s="469">
        <v>13.28</v>
      </c>
      <c r="C47" s="482">
        <v>2.1</v>
      </c>
      <c r="D47" s="469">
        <v>1.7</v>
      </c>
      <c r="E47" s="469">
        <v>39.49</v>
      </c>
      <c r="F47" s="724">
        <v>5</v>
      </c>
      <c r="G47" s="725">
        <v>10</v>
      </c>
      <c r="H47" s="551">
        <v>5</v>
      </c>
      <c r="I47" s="537" t="s">
        <v>2943</v>
      </c>
    </row>
    <row r="48" spans="1:9" x14ac:dyDescent="0.2">
      <c r="A48" s="626">
        <v>33</v>
      </c>
      <c r="B48" s="469">
        <v>12.84</v>
      </c>
      <c r="C48" s="482">
        <v>2.0299999999999998</v>
      </c>
      <c r="D48" s="469">
        <v>1.7</v>
      </c>
      <c r="E48" s="469">
        <v>38.15</v>
      </c>
      <c r="F48" s="724">
        <v>5</v>
      </c>
      <c r="G48" s="725">
        <v>10</v>
      </c>
      <c r="H48" s="551">
        <v>5</v>
      </c>
      <c r="I48" s="537" t="s">
        <v>2943</v>
      </c>
    </row>
    <row r="49" spans="1:9" x14ac:dyDescent="0.2">
      <c r="A49" s="626">
        <v>34</v>
      </c>
      <c r="B49" s="469">
        <v>12.22</v>
      </c>
      <c r="C49" s="482">
        <v>1.94</v>
      </c>
      <c r="D49" s="469">
        <v>1.4</v>
      </c>
      <c r="E49" s="469">
        <v>36.94</v>
      </c>
      <c r="F49" s="724">
        <v>5</v>
      </c>
      <c r="G49" s="725">
        <v>10</v>
      </c>
      <c r="H49" s="551">
        <v>5</v>
      </c>
      <c r="I49" s="537" t="s">
        <v>2943</v>
      </c>
    </row>
    <row r="50" spans="1:9" x14ac:dyDescent="0.2">
      <c r="A50" s="472" t="s">
        <v>2263</v>
      </c>
      <c r="F50" s="472">
        <f>SUM(F16:F49)</f>
        <v>170</v>
      </c>
      <c r="G50" s="472">
        <f>SUM(G16:G49)</f>
        <v>340</v>
      </c>
      <c r="H50" s="472">
        <f>SUM(H16:H49)</f>
        <v>170</v>
      </c>
    </row>
    <row r="52" spans="1:9" ht="15.75" x14ac:dyDescent="0.25">
      <c r="A52" s="660" t="s">
        <v>1543</v>
      </c>
    </row>
    <row r="53" spans="1:9" x14ac:dyDescent="0.2">
      <c r="A53" s="484" t="s">
        <v>610</v>
      </c>
      <c r="B53" s="484" t="s">
        <v>1545</v>
      </c>
      <c r="C53" s="484" t="s">
        <v>1546</v>
      </c>
      <c r="D53" s="484" t="s">
        <v>2704</v>
      </c>
    </row>
    <row r="54" spans="1:9" x14ac:dyDescent="0.2">
      <c r="A54">
        <v>1</v>
      </c>
      <c r="B54" t="s">
        <v>2708</v>
      </c>
      <c r="C54" t="s">
        <v>2944</v>
      </c>
      <c r="D54" t="s">
        <v>2945</v>
      </c>
    </row>
    <row r="55" spans="1:9" x14ac:dyDescent="0.2">
      <c r="A55">
        <v>2</v>
      </c>
      <c r="B55" t="s">
        <v>2705</v>
      </c>
      <c r="C55" t="s">
        <v>2946</v>
      </c>
      <c r="D55" t="s">
        <v>2947</v>
      </c>
    </row>
    <row r="56" spans="1:9" x14ac:dyDescent="0.2">
      <c r="A56">
        <v>3</v>
      </c>
      <c r="B56" t="s">
        <v>2713</v>
      </c>
      <c r="C56" t="s">
        <v>2944</v>
      </c>
      <c r="D56" t="s">
        <v>2945</v>
      </c>
    </row>
    <row r="57" spans="1:9" x14ac:dyDescent="0.2">
      <c r="A57">
        <v>4</v>
      </c>
      <c r="B57" t="s">
        <v>2715</v>
      </c>
      <c r="C57" t="s">
        <v>2948</v>
      </c>
      <c r="D57" t="s">
        <v>2949</v>
      </c>
    </row>
    <row r="58" spans="1:9" x14ac:dyDescent="0.2">
      <c r="A58">
        <v>5</v>
      </c>
      <c r="B58" t="s">
        <v>2718</v>
      </c>
      <c r="C58" t="s">
        <v>2719</v>
      </c>
      <c r="D58" t="s">
        <v>2720</v>
      </c>
    </row>
    <row r="59" spans="1:9" x14ac:dyDescent="0.2">
      <c r="A59">
        <v>6</v>
      </c>
      <c r="B59" t="s">
        <v>2950</v>
      </c>
      <c r="C59">
        <v>1</v>
      </c>
      <c r="D59" t="s">
        <v>2951</v>
      </c>
    </row>
    <row r="60" spans="1:9" x14ac:dyDescent="0.2">
      <c r="A60">
        <v>7</v>
      </c>
      <c r="B60" t="s">
        <v>2952</v>
      </c>
      <c r="C60" t="s">
        <v>2953</v>
      </c>
      <c r="D60" t="s">
        <v>2954</v>
      </c>
    </row>
    <row r="61" spans="1:9" x14ac:dyDescent="0.2">
      <c r="A61">
        <v>8</v>
      </c>
      <c r="B61" t="s">
        <v>2955</v>
      </c>
      <c r="C61">
        <v>3</v>
      </c>
      <c r="D61" t="s">
        <v>2956</v>
      </c>
    </row>
    <row r="62" spans="1:9" x14ac:dyDescent="0.2">
      <c r="A62">
        <v>9</v>
      </c>
      <c r="B62" t="s">
        <v>2957</v>
      </c>
      <c r="C62">
        <v>1</v>
      </c>
      <c r="D62" t="s">
        <v>2958</v>
      </c>
    </row>
    <row r="63" spans="1:9" x14ac:dyDescent="0.2">
      <c r="A63">
        <v>10</v>
      </c>
      <c r="B63" t="s">
        <v>2732</v>
      </c>
      <c r="C63">
        <v>2</v>
      </c>
      <c r="D63" t="s">
        <v>2959</v>
      </c>
    </row>
    <row r="64" spans="1:9" x14ac:dyDescent="0.2">
      <c r="A64">
        <v>11</v>
      </c>
      <c r="B64" t="s">
        <v>2960</v>
      </c>
      <c r="C64" t="s">
        <v>2961</v>
      </c>
      <c r="D64" t="s">
        <v>2962</v>
      </c>
    </row>
    <row r="65" spans="1:4" x14ac:dyDescent="0.2">
      <c r="A65">
        <v>12</v>
      </c>
      <c r="B65" t="s">
        <v>2734</v>
      </c>
      <c r="C65" t="s">
        <v>2735</v>
      </c>
      <c r="D65" t="s">
        <v>2736</v>
      </c>
    </row>
    <row r="66" spans="1:4" x14ac:dyDescent="0.2">
      <c r="A66">
        <v>13</v>
      </c>
      <c r="B66" t="s">
        <v>2737</v>
      </c>
      <c r="C66" t="s">
        <v>2716</v>
      </c>
      <c r="D66" t="s">
        <v>2963</v>
      </c>
    </row>
    <row r="67" spans="1:4" x14ac:dyDescent="0.2">
      <c r="A67">
        <v>14</v>
      </c>
      <c r="B67" t="s">
        <v>2740</v>
      </c>
      <c r="C67">
        <v>1</v>
      </c>
      <c r="D67" t="s">
        <v>2964</v>
      </c>
    </row>
    <row r="68" spans="1:4" x14ac:dyDescent="0.2">
      <c r="A68">
        <v>15</v>
      </c>
      <c r="B68" t="s">
        <v>2742</v>
      </c>
      <c r="C68">
        <v>1</v>
      </c>
      <c r="D68" t="s">
        <v>2965</v>
      </c>
    </row>
    <row r="70" spans="1:4" ht="15.75" x14ac:dyDescent="0.25">
      <c r="A70" s="663" t="s">
        <v>1849</v>
      </c>
    </row>
    <row r="71" spans="1:4" ht="15" x14ac:dyDescent="0.25">
      <c r="A71" s="600" t="s">
        <v>2744</v>
      </c>
    </row>
    <row r="72" spans="1:4" x14ac:dyDescent="0.2">
      <c r="A72" t="s">
        <v>2745</v>
      </c>
    </row>
    <row r="73" spans="1:4" x14ac:dyDescent="0.2">
      <c r="A73" t="s">
        <v>2966</v>
      </c>
    </row>
    <row r="74" spans="1:4" x14ac:dyDescent="0.2">
      <c r="A74" t="s">
        <v>2967</v>
      </c>
    </row>
    <row r="75" spans="1:4" x14ac:dyDescent="0.2">
      <c r="A75" t="s">
        <v>2968</v>
      </c>
    </row>
    <row r="76" spans="1:4" x14ac:dyDescent="0.2">
      <c r="A76" t="s">
        <v>2969</v>
      </c>
    </row>
    <row r="77" spans="1:4" x14ac:dyDescent="0.2">
      <c r="A77" t="s">
        <v>2970</v>
      </c>
    </row>
    <row r="79" spans="1:4" ht="15" x14ac:dyDescent="0.25">
      <c r="A79" s="600" t="s">
        <v>2971</v>
      </c>
    </row>
    <row r="80" spans="1:4" x14ac:dyDescent="0.2">
      <c r="A80" t="s">
        <v>2972</v>
      </c>
    </row>
    <row r="81" spans="1:1" x14ac:dyDescent="0.2">
      <c r="A81" t="s">
        <v>2973</v>
      </c>
    </row>
    <row r="82" spans="1:1" x14ac:dyDescent="0.2">
      <c r="A82" t="s">
        <v>2974</v>
      </c>
    </row>
    <row r="83" spans="1:1" x14ac:dyDescent="0.2">
      <c r="A83" t="s">
        <v>2975</v>
      </c>
    </row>
    <row r="84" spans="1:1" x14ac:dyDescent="0.2">
      <c r="A84" t="s">
        <v>2976</v>
      </c>
    </row>
    <row r="86" spans="1:1" ht="15" x14ac:dyDescent="0.25">
      <c r="A86" s="600" t="s">
        <v>2757</v>
      </c>
    </row>
    <row r="87" spans="1:1" x14ac:dyDescent="0.2">
      <c r="A87" t="s">
        <v>2977</v>
      </c>
    </row>
    <row r="88" spans="1:1" x14ac:dyDescent="0.2">
      <c r="A88" t="s">
        <v>2978</v>
      </c>
    </row>
    <row r="89" spans="1:1" x14ac:dyDescent="0.2">
      <c r="A89" t="s">
        <v>2979</v>
      </c>
    </row>
    <row r="90" spans="1:1" x14ac:dyDescent="0.2">
      <c r="A90" t="s">
        <v>2980</v>
      </c>
    </row>
    <row r="91" spans="1:1" x14ac:dyDescent="0.2">
      <c r="A91" t="s">
        <v>2981</v>
      </c>
    </row>
    <row r="93" spans="1:1" ht="15" x14ac:dyDescent="0.25">
      <c r="A93" s="600" t="s">
        <v>2982</v>
      </c>
    </row>
    <row r="94" spans="1:1" x14ac:dyDescent="0.2">
      <c r="A94" t="s">
        <v>2983</v>
      </c>
    </row>
    <row r="95" spans="1:1" x14ac:dyDescent="0.2">
      <c r="A95" t="s">
        <v>2984</v>
      </c>
    </row>
    <row r="96" spans="1:1" x14ac:dyDescent="0.2">
      <c r="A96" t="s">
        <v>2985</v>
      </c>
    </row>
    <row r="97" spans="1:1" x14ac:dyDescent="0.2">
      <c r="A97" t="s">
        <v>2986</v>
      </c>
    </row>
    <row r="98" spans="1:1" x14ac:dyDescent="0.2">
      <c r="A98" t="s">
        <v>2987</v>
      </c>
    </row>
    <row r="99" spans="1:1" x14ac:dyDescent="0.2">
      <c r="A99" t="s">
        <v>2988</v>
      </c>
    </row>
    <row r="100" spans="1:1" x14ac:dyDescent="0.2">
      <c r="A100" t="s">
        <v>2989</v>
      </c>
    </row>
    <row r="102" spans="1:1" ht="15" x14ac:dyDescent="0.25">
      <c r="A102" s="600" t="s">
        <v>2772</v>
      </c>
    </row>
    <row r="103" spans="1:1" x14ac:dyDescent="0.2">
      <c r="A103" t="s">
        <v>2990</v>
      </c>
    </row>
    <row r="104" spans="1:1" x14ac:dyDescent="0.2">
      <c r="A104" t="s">
        <v>2991</v>
      </c>
    </row>
    <row r="105" spans="1:1" x14ac:dyDescent="0.2">
      <c r="A105" t="s">
        <v>2992</v>
      </c>
    </row>
    <row r="106" spans="1:1" x14ac:dyDescent="0.2">
      <c r="A106" t="s">
        <v>2993</v>
      </c>
    </row>
    <row r="107" spans="1:1" x14ac:dyDescent="0.2">
      <c r="A107" t="s">
        <v>2994</v>
      </c>
    </row>
    <row r="109" spans="1:1" ht="15" x14ac:dyDescent="0.25">
      <c r="A109" s="600" t="s">
        <v>2779</v>
      </c>
    </row>
    <row r="110" spans="1:1" x14ac:dyDescent="0.2">
      <c r="A110" t="s">
        <v>2995</v>
      </c>
    </row>
    <row r="111" spans="1:1" x14ac:dyDescent="0.2">
      <c r="A111" t="s">
        <v>2996</v>
      </c>
    </row>
    <row r="112" spans="1:1" x14ac:dyDescent="0.2">
      <c r="A112" t="s">
        <v>2997</v>
      </c>
    </row>
    <row r="114" spans="1:1" ht="15" x14ac:dyDescent="0.25">
      <c r="A114" s="617" t="s">
        <v>971</v>
      </c>
    </row>
    <row r="115" spans="1:1" x14ac:dyDescent="0.2">
      <c r="A115" t="s">
        <v>2998</v>
      </c>
    </row>
    <row r="116" spans="1:1" x14ac:dyDescent="0.2">
      <c r="A116" t="e" cm="1">
        <f t="array" ref="A116">- Ashiko is a GOBLET shape (narrow waist, flared bell at bottom)</f>
        <v>#NAME?</v>
      </c>
    </row>
    <row r="117" spans="1:1" x14ac:dyDescent="0.2">
      <c r="A117" t="s">
        <v>2999</v>
      </c>
    </row>
    <row r="118" spans="1:1" x14ac:dyDescent="0.2">
      <c r="A118" t="s">
        <v>3000</v>
      </c>
    </row>
    <row r="119" spans="1:1" x14ac:dyDescent="0.2">
      <c r="A119" t="s">
        <v>3001</v>
      </c>
    </row>
    <row r="122" spans="1:1" ht="18" x14ac:dyDescent="0.25">
      <c r="A122" s="833" t="s">
        <v>6892</v>
      </c>
    </row>
    <row r="123" spans="1:1" x14ac:dyDescent="0.2">
      <c r="A123" s="734" t="s">
        <v>6893</v>
      </c>
    </row>
    <row r="125" spans="1:1" x14ac:dyDescent="0.2">
      <c r="A125" s="609" t="s">
        <v>6355</v>
      </c>
    </row>
    <row r="126" spans="1:1" x14ac:dyDescent="0.2">
      <c r="A126" t="s">
        <v>6894</v>
      </c>
    </row>
    <row r="127" spans="1:1" x14ac:dyDescent="0.2">
      <c r="A127" s="759" t="s">
        <v>6895</v>
      </c>
    </row>
    <row r="128" spans="1:1" x14ac:dyDescent="0.2">
      <c r="A128" t="s">
        <v>6896</v>
      </c>
    </row>
    <row r="130" spans="1:1" x14ac:dyDescent="0.2">
      <c r="A130" s="609" t="s">
        <v>6359</v>
      </c>
    </row>
    <row r="131" spans="1:1" x14ac:dyDescent="0.2">
      <c r="A131" t="s">
        <v>6897</v>
      </c>
    </row>
    <row r="132" spans="1:1" x14ac:dyDescent="0.2">
      <c r="A132" t="s">
        <v>6898</v>
      </c>
    </row>
    <row r="133" spans="1:1" x14ac:dyDescent="0.2">
      <c r="A133" t="s">
        <v>6899</v>
      </c>
    </row>
    <row r="134" spans="1:1" x14ac:dyDescent="0.2">
      <c r="A134" t="s">
        <v>6900</v>
      </c>
    </row>
    <row r="136" spans="1:1" x14ac:dyDescent="0.2">
      <c r="A136" s="609" t="s">
        <v>6882</v>
      </c>
    </row>
    <row r="137" spans="1:1" x14ac:dyDescent="0.2">
      <c r="A137" t="s">
        <v>6901</v>
      </c>
    </row>
    <row r="138" spans="1:1" x14ac:dyDescent="0.2">
      <c r="A138" t="s">
        <v>6902</v>
      </c>
    </row>
    <row r="139" spans="1:1" x14ac:dyDescent="0.2">
      <c r="A139" t="s">
        <v>6903</v>
      </c>
    </row>
    <row r="140" spans="1:1" x14ac:dyDescent="0.2">
      <c r="A140" t="s">
        <v>6904</v>
      </c>
    </row>
    <row r="142" spans="1:1" x14ac:dyDescent="0.2">
      <c r="A142" s="609" t="s">
        <v>6658</v>
      </c>
    </row>
    <row r="143" spans="1:1" x14ac:dyDescent="0.2">
      <c r="A143" t="s">
        <v>6905</v>
      </c>
    </row>
    <row r="144" spans="1:1" x14ac:dyDescent="0.2">
      <c r="A144" t="s">
        <v>6906</v>
      </c>
    </row>
    <row r="145" spans="1:1" x14ac:dyDescent="0.2">
      <c r="A145" t="s">
        <v>6907</v>
      </c>
    </row>
    <row r="147" spans="1:1" x14ac:dyDescent="0.2">
      <c r="A147" s="609" t="s">
        <v>6661</v>
      </c>
    </row>
    <row r="148" spans="1:1" x14ac:dyDescent="0.2">
      <c r="A148" t="s">
        <v>6908</v>
      </c>
    </row>
    <row r="149" spans="1:1" x14ac:dyDescent="0.2">
      <c r="A149" t="s">
        <v>6909</v>
      </c>
    </row>
    <row r="150" spans="1:1" x14ac:dyDescent="0.2">
      <c r="A150" t="s">
        <v>6642</v>
      </c>
    </row>
    <row r="151" spans="1:1" x14ac:dyDescent="0.2">
      <c r="A151" t="s">
        <v>6910</v>
      </c>
    </row>
    <row r="153" spans="1:1" x14ac:dyDescent="0.2">
      <c r="A153" s="609" t="s">
        <v>6682</v>
      </c>
    </row>
    <row r="154" spans="1:1" x14ac:dyDescent="0.2">
      <c r="A154" t="s">
        <v>6911</v>
      </c>
    </row>
    <row r="159" spans="1:1" ht="18" x14ac:dyDescent="0.25">
      <c r="A159" s="838" t="s">
        <v>7359</v>
      </c>
    </row>
    <row r="160" spans="1:1" x14ac:dyDescent="0.2">
      <c r="A160" s="734" t="s">
        <v>7246</v>
      </c>
    </row>
    <row r="162" spans="1:1" x14ac:dyDescent="0.2">
      <c r="A162" s="839" t="s">
        <v>7259</v>
      </c>
    </row>
    <row r="163" spans="1:1" x14ac:dyDescent="0.2">
      <c r="A163" s="842" t="s">
        <v>7360</v>
      </c>
    </row>
    <row r="164" spans="1:1" x14ac:dyDescent="0.2">
      <c r="A164" t="s">
        <v>7361</v>
      </c>
    </row>
    <row r="165" spans="1:1" x14ac:dyDescent="0.2">
      <c r="A165" t="s">
        <v>7362</v>
      </c>
    </row>
    <row r="167" spans="1:1" x14ac:dyDescent="0.2">
      <c r="A167" s="839" t="s">
        <v>7363</v>
      </c>
    </row>
    <row r="168" spans="1:1" x14ac:dyDescent="0.2">
      <c r="A168" s="842" t="s">
        <v>7364</v>
      </c>
    </row>
    <row r="169" spans="1:1" x14ac:dyDescent="0.2">
      <c r="A169" t="s">
        <v>7365</v>
      </c>
    </row>
    <row r="171" spans="1:1" x14ac:dyDescent="0.2">
      <c r="A171" s="839" t="s">
        <v>7366</v>
      </c>
    </row>
    <row r="172" spans="1:1" x14ac:dyDescent="0.2">
      <c r="A172" s="842" t="s">
        <v>7367</v>
      </c>
    </row>
    <row r="173" spans="1:1" x14ac:dyDescent="0.2">
      <c r="A173" t="s">
        <v>7368</v>
      </c>
    </row>
    <row r="175" spans="1:1" x14ac:dyDescent="0.2">
      <c r="A175" s="839" t="s">
        <v>7247</v>
      </c>
    </row>
    <row r="176" spans="1:1" x14ac:dyDescent="0.2">
      <c r="A176" t="s">
        <v>7369</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85DD3-7D2E-4182-B8EE-52E88ADF3077}">
  <dimension ref="A1:L234"/>
  <sheetViews>
    <sheetView zoomScaleNormal="100" workbookViewId="0">
      <pane ySplit="3" topLeftCell="A116" activePane="bottomLeft" state="frozen"/>
      <selection pane="bottomLeft" activeCell="A161" sqref="A161:A221"/>
    </sheetView>
  </sheetViews>
  <sheetFormatPr defaultRowHeight="12.75" x14ac:dyDescent="0.2"/>
  <cols>
    <col min="1" max="1" width="137.140625" customWidth="1"/>
    <col min="2" max="2" width="26.7109375" customWidth="1"/>
    <col min="3" max="3" width="49.5703125" customWidth="1"/>
    <col min="4" max="4" width="15.28515625" customWidth="1"/>
    <col min="5" max="5" width="38.140625" customWidth="1"/>
    <col min="6" max="6" width="26.7109375" customWidth="1"/>
    <col min="7" max="8" width="19" customWidth="1"/>
    <col min="9" max="9" width="17.140625" customWidth="1"/>
    <col min="10" max="11" width="15.28515625" customWidth="1"/>
    <col min="12" max="12" width="13.28515625" customWidth="1"/>
  </cols>
  <sheetData>
    <row r="1" spans="1:3" ht="18" x14ac:dyDescent="0.25">
      <c r="A1" s="470" t="s">
        <v>3182</v>
      </c>
    </row>
    <row r="2" spans="1:3" x14ac:dyDescent="0.2">
      <c r="A2" s="734" t="s">
        <v>3183</v>
      </c>
    </row>
    <row r="4" spans="1:3" ht="15" x14ac:dyDescent="0.25">
      <c r="A4" s="735" t="s">
        <v>1443</v>
      </c>
      <c r="B4" s="736"/>
      <c r="C4" s="736"/>
    </row>
    <row r="5" spans="1:3" x14ac:dyDescent="0.2">
      <c r="A5" t="s">
        <v>3184</v>
      </c>
      <c r="B5" s="565">
        <v>20.3</v>
      </c>
      <c r="C5" t="s">
        <v>3185</v>
      </c>
    </row>
    <row r="6" spans="1:3" x14ac:dyDescent="0.2">
      <c r="A6" t="s">
        <v>3186</v>
      </c>
      <c r="B6" s="565">
        <v>9.8000000000000007</v>
      </c>
      <c r="C6" t="s">
        <v>3187</v>
      </c>
    </row>
    <row r="7" spans="1:3" x14ac:dyDescent="0.2">
      <c r="A7" t="s">
        <v>3188</v>
      </c>
      <c r="B7" s="565">
        <v>51.2</v>
      </c>
      <c r="C7" t="s">
        <v>3189</v>
      </c>
    </row>
    <row r="8" spans="1:3" x14ac:dyDescent="0.2">
      <c r="A8" t="s">
        <v>1932</v>
      </c>
      <c r="B8" s="565">
        <v>8.6999999999999993</v>
      </c>
      <c r="C8" t="s">
        <v>3190</v>
      </c>
    </row>
    <row r="9" spans="1:3" x14ac:dyDescent="0.2">
      <c r="A9" t="s">
        <v>1934</v>
      </c>
      <c r="B9" s="565">
        <v>31.1</v>
      </c>
      <c r="C9" t="s">
        <v>3191</v>
      </c>
    </row>
    <row r="10" spans="1:3" x14ac:dyDescent="0.2">
      <c r="A10" t="s">
        <v>1936</v>
      </c>
      <c r="B10" s="565">
        <v>8</v>
      </c>
      <c r="C10" t="s">
        <v>3192</v>
      </c>
    </row>
    <row r="11" spans="1:3" x14ac:dyDescent="0.2">
      <c r="A11" t="s">
        <v>1938</v>
      </c>
      <c r="B11" s="565">
        <v>14</v>
      </c>
      <c r="C11" t="s">
        <v>3193</v>
      </c>
    </row>
    <row r="12" spans="1:3" x14ac:dyDescent="0.2">
      <c r="A12" t="s">
        <v>1940</v>
      </c>
      <c r="B12" s="701">
        <v>4.1549999999999997E-2</v>
      </c>
    </row>
    <row r="13" spans="1:3" x14ac:dyDescent="0.2">
      <c r="A13" t="s">
        <v>1941</v>
      </c>
      <c r="B13" s="565">
        <v>2.5</v>
      </c>
      <c r="C13" t="s">
        <v>3194</v>
      </c>
    </row>
    <row r="14" spans="1:3" x14ac:dyDescent="0.2">
      <c r="A14" t="s">
        <v>1943</v>
      </c>
      <c r="B14" s="737">
        <v>18</v>
      </c>
      <c r="C14" t="s">
        <v>3195</v>
      </c>
    </row>
    <row r="15" spans="1:3" x14ac:dyDescent="0.2">
      <c r="A15" t="s">
        <v>3196</v>
      </c>
      <c r="B15" s="564" t="s">
        <v>3197</v>
      </c>
    </row>
    <row r="16" spans="1:3" x14ac:dyDescent="0.2">
      <c r="A16" t="s">
        <v>3198</v>
      </c>
      <c r="B16" s="564" t="s">
        <v>398</v>
      </c>
      <c r="C16" t="s">
        <v>3199</v>
      </c>
    </row>
    <row r="18" spans="1:9" ht="15" x14ac:dyDescent="0.25">
      <c r="A18" s="738" t="s">
        <v>3200</v>
      </c>
      <c r="B18" s="739"/>
      <c r="C18" s="739"/>
      <c r="D18" s="739"/>
      <c r="E18" s="739"/>
      <c r="F18" s="739"/>
      <c r="G18" s="739"/>
      <c r="H18" s="739"/>
      <c r="I18" s="739"/>
    </row>
    <row r="19" spans="1:9" x14ac:dyDescent="0.2">
      <c r="A19" t="s">
        <v>2676</v>
      </c>
      <c r="B19" s="564">
        <v>12</v>
      </c>
      <c r="C19" t="s">
        <v>3201</v>
      </c>
      <c r="F19" s="472" t="s">
        <v>2685</v>
      </c>
    </row>
    <row r="20" spans="1:9" x14ac:dyDescent="0.2">
      <c r="A20" t="s">
        <v>2677</v>
      </c>
      <c r="B20" s="596">
        <v>0.75</v>
      </c>
      <c r="F20" t="s">
        <v>398</v>
      </c>
      <c r="G20" s="540">
        <f>ROUNDDOWN(B24*0.45,0)</f>
        <v>75</v>
      </c>
      <c r="H20" t="s">
        <v>2686</v>
      </c>
    </row>
    <row r="21" spans="1:9" x14ac:dyDescent="0.2">
      <c r="A21" t="s">
        <v>2678</v>
      </c>
      <c r="B21" s="469">
        <f>180/B19</f>
        <v>15</v>
      </c>
      <c r="C21" t="s">
        <v>2679</v>
      </c>
      <c r="F21" t="s">
        <v>386</v>
      </c>
      <c r="G21" s="540">
        <f>ROUNDDOWN(B24*0.3,0)</f>
        <v>50</v>
      </c>
      <c r="H21" t="s">
        <v>2686</v>
      </c>
    </row>
    <row r="22" spans="1:9" x14ac:dyDescent="0.2">
      <c r="A22" t="s">
        <v>3202</v>
      </c>
      <c r="B22" s="741">
        <f>B6</f>
        <v>9.8000000000000007</v>
      </c>
      <c r="C22" t="s">
        <v>3203</v>
      </c>
      <c r="F22" t="s">
        <v>464</v>
      </c>
      <c r="G22" s="540">
        <f>B24-G20-G21</f>
        <v>43</v>
      </c>
      <c r="H22" t="s">
        <v>2686</v>
      </c>
    </row>
    <row r="23" spans="1:9" x14ac:dyDescent="0.2">
      <c r="A23" t="s">
        <v>3204</v>
      </c>
      <c r="B23" s="540">
        <f>ROUNDUP(B22/B20,0)</f>
        <v>14</v>
      </c>
      <c r="F23" t="s">
        <v>2689</v>
      </c>
      <c r="G23" s="742">
        <f>G20+G21+G22</f>
        <v>168</v>
      </c>
    </row>
    <row r="24" spans="1:9" x14ac:dyDescent="0.2">
      <c r="A24" t="s">
        <v>2684</v>
      </c>
      <c r="B24" s="540">
        <f>B23*B19</f>
        <v>168</v>
      </c>
      <c r="F24" s="641"/>
    </row>
    <row r="25" spans="1:9" x14ac:dyDescent="0.2">
      <c r="F25" s="734" t="s">
        <v>3205</v>
      </c>
    </row>
    <row r="26" spans="1:9" x14ac:dyDescent="0.2">
      <c r="A26" s="472" t="s">
        <v>2692</v>
      </c>
      <c r="F26" s="734" t="s">
        <v>3206</v>
      </c>
    </row>
    <row r="27" spans="1:9" x14ac:dyDescent="0.2">
      <c r="A27" s="475" t="s">
        <v>2693</v>
      </c>
      <c r="B27" s="475" t="s">
        <v>2694</v>
      </c>
      <c r="C27" s="475" t="s">
        <v>2695</v>
      </c>
      <c r="D27" s="475" t="s">
        <v>2696</v>
      </c>
      <c r="E27" s="475" t="s">
        <v>2697</v>
      </c>
      <c r="F27" s="475" t="s">
        <v>2687</v>
      </c>
      <c r="G27" s="475" t="s">
        <v>618</v>
      </c>
      <c r="H27" s="475" t="s">
        <v>464</v>
      </c>
      <c r="I27" s="475" t="s">
        <v>2699</v>
      </c>
    </row>
    <row r="28" spans="1:9" x14ac:dyDescent="0.2">
      <c r="A28">
        <v>1</v>
      </c>
      <c r="B28" s="482">
        <f>$B$20</f>
        <v>0.75</v>
      </c>
      <c r="C28" s="481">
        <f>E28*PI()/$B$19+1</f>
        <v>2.8916831979590834</v>
      </c>
      <c r="D28" s="482">
        <f>PI()*E28/$B$19</f>
        <v>1.8916831979590836</v>
      </c>
      <c r="E28" s="481">
        <f>$B$5*SQRT(1-((A28-0.5)/$B$23-1)^2)*0.4+$B$5*0.25</f>
        <v>7.225697561257741</v>
      </c>
      <c r="F28" s="540">
        <f>IF(MOD(A28,3)=1,$B$19,0)</f>
        <v>12</v>
      </c>
      <c r="G28" s="540">
        <f>IF(MOD(A28,3)=2,$B$19,0)</f>
        <v>0</v>
      </c>
      <c r="H28" s="540">
        <f>IF(MOD(A28,3)=0,$B$19,0)</f>
        <v>0</v>
      </c>
      <c r="I28" s="733" t="str">
        <f>IF(A28&lt;=3,"Top (neck)",IF(A28&lt;=$B$23*0.5,"Upper bowl",IF(A28&lt;=$B$23*0.85,"Lower bowl","Rim")))</f>
        <v>Top (neck)</v>
      </c>
    </row>
    <row r="29" spans="1:9" x14ac:dyDescent="0.2">
      <c r="A29">
        <v>2</v>
      </c>
      <c r="B29" s="482">
        <f t="shared" ref="B29:B41" si="0">$B$20</f>
        <v>0.75</v>
      </c>
      <c r="C29" s="481">
        <f t="shared" ref="C29:C41" si="1">E29*PI()/$B$19+1</f>
        <v>3.2859696480137712</v>
      </c>
      <c r="D29" s="482">
        <f t="shared" ref="D29:D41" si="2">PI()*E29/$B$19</f>
        <v>2.2859696480137712</v>
      </c>
      <c r="E29" s="481">
        <f t="shared" ref="E29:E41" si="3">$B$5*SQRT(1-((A29-0.5)/$B$23-1)^2)*0.4+$B$5*0.25</f>
        <v>8.7317608617463627</v>
      </c>
      <c r="F29" s="540">
        <f t="shared" ref="F29:F41" si="4">IF(MOD(A29,3)=1,$B$19,0)</f>
        <v>0</v>
      </c>
      <c r="G29" s="540">
        <f t="shared" ref="G29:G41" si="5">IF(MOD(A29,3)=2,$B$19,0)</f>
        <v>12</v>
      </c>
      <c r="H29" s="540">
        <f t="shared" ref="H29:H41" si="6">IF(MOD(A29,3)=0,$B$19,0)</f>
        <v>0</v>
      </c>
      <c r="I29" s="733" t="str">
        <f t="shared" ref="I29:I41" si="7">IF(A29&lt;=3,"Top (neck)",IF(A29&lt;=$B$23*0.5,"Upper bowl",IF(A29&lt;=$B$23*0.85,"Lower bowl","Rim")))</f>
        <v>Top (neck)</v>
      </c>
    </row>
    <row r="30" spans="1:9" x14ac:dyDescent="0.2">
      <c r="A30">
        <v>3</v>
      </c>
      <c r="B30" s="482">
        <f t="shared" si="0"/>
        <v>0.75</v>
      </c>
      <c r="C30" s="481">
        <f t="shared" si="1"/>
        <v>3.5410061740302874</v>
      </c>
      <c r="D30" s="482">
        <f t="shared" si="2"/>
        <v>2.5410061740302874</v>
      </c>
      <c r="E30" s="481">
        <f t="shared" si="3"/>
        <v>9.7059286325746825</v>
      </c>
      <c r="F30" s="540">
        <f t="shared" si="4"/>
        <v>0</v>
      </c>
      <c r="G30" s="540">
        <f t="shared" si="5"/>
        <v>0</v>
      </c>
      <c r="H30" s="540">
        <f t="shared" si="6"/>
        <v>12</v>
      </c>
      <c r="I30" s="733" t="str">
        <f t="shared" si="7"/>
        <v>Top (neck)</v>
      </c>
    </row>
    <row r="31" spans="1:9" x14ac:dyDescent="0.2">
      <c r="A31">
        <v>4</v>
      </c>
      <c r="B31" s="482">
        <f t="shared" si="0"/>
        <v>0.75</v>
      </c>
      <c r="C31" s="481">
        <f t="shared" si="1"/>
        <v>3.7347237222968626</v>
      </c>
      <c r="D31" s="482">
        <f t="shared" si="2"/>
        <v>2.7347237222968626</v>
      </c>
      <c r="E31" s="481">
        <f t="shared" si="3"/>
        <v>10.445875161461121</v>
      </c>
      <c r="F31" s="540">
        <f t="shared" si="4"/>
        <v>12</v>
      </c>
      <c r="G31" s="540">
        <f t="shared" si="5"/>
        <v>0</v>
      </c>
      <c r="H31" s="540">
        <f t="shared" si="6"/>
        <v>0</v>
      </c>
      <c r="I31" s="733" t="str">
        <f t="shared" si="7"/>
        <v>Upper bowl</v>
      </c>
    </row>
    <row r="32" spans="1:9" x14ac:dyDescent="0.2">
      <c r="A32">
        <v>5</v>
      </c>
      <c r="B32" s="482">
        <f t="shared" si="0"/>
        <v>0.75</v>
      </c>
      <c r="C32" s="481">
        <f t="shared" si="1"/>
        <v>3.8901132673729353</v>
      </c>
      <c r="D32" s="482">
        <f t="shared" si="2"/>
        <v>2.8901132673729353</v>
      </c>
      <c r="E32" s="481">
        <f t="shared" si="3"/>
        <v>11.039419502348908</v>
      </c>
      <c r="F32" s="540">
        <f t="shared" si="4"/>
        <v>0</v>
      </c>
      <c r="G32" s="540">
        <f t="shared" si="5"/>
        <v>12</v>
      </c>
      <c r="H32" s="540">
        <f t="shared" si="6"/>
        <v>0</v>
      </c>
      <c r="I32" s="733" t="str">
        <f t="shared" si="7"/>
        <v>Upper bowl</v>
      </c>
    </row>
    <row r="33" spans="1:9" x14ac:dyDescent="0.2">
      <c r="A33">
        <v>6</v>
      </c>
      <c r="B33" s="482">
        <f t="shared" si="0"/>
        <v>0.75</v>
      </c>
      <c r="C33" s="481">
        <f t="shared" si="1"/>
        <v>4.0177858077158852</v>
      </c>
      <c r="D33" s="482">
        <f t="shared" si="2"/>
        <v>3.0177858077158852</v>
      </c>
      <c r="E33" s="481">
        <f t="shared" si="3"/>
        <v>11.527092683773226</v>
      </c>
      <c r="F33" s="540">
        <f t="shared" si="4"/>
        <v>0</v>
      </c>
      <c r="G33" s="540">
        <f t="shared" si="5"/>
        <v>0</v>
      </c>
      <c r="H33" s="540">
        <f t="shared" si="6"/>
        <v>12</v>
      </c>
      <c r="I33" s="733" t="str">
        <f t="shared" si="7"/>
        <v>Upper bowl</v>
      </c>
    </row>
    <row r="34" spans="1:9" x14ac:dyDescent="0.2">
      <c r="A34">
        <v>7</v>
      </c>
      <c r="B34" s="482">
        <f t="shared" si="0"/>
        <v>0.75</v>
      </c>
      <c r="C34" s="481">
        <f t="shared" si="1"/>
        <v>4.1236652708722836</v>
      </c>
      <c r="D34" s="482">
        <f t="shared" si="2"/>
        <v>3.1236652708722836</v>
      </c>
      <c r="E34" s="481">
        <f t="shared" si="3"/>
        <v>11.931522442171396</v>
      </c>
      <c r="F34" s="540">
        <f t="shared" si="4"/>
        <v>12</v>
      </c>
      <c r="G34" s="540">
        <f t="shared" si="5"/>
        <v>0</v>
      </c>
      <c r="H34" s="540">
        <f t="shared" si="6"/>
        <v>0</v>
      </c>
      <c r="I34" s="733" t="str">
        <f t="shared" si="7"/>
        <v>Upper bowl</v>
      </c>
    </row>
    <row r="35" spans="1:9" x14ac:dyDescent="0.2">
      <c r="A35">
        <v>8</v>
      </c>
      <c r="B35" s="482">
        <f t="shared" si="0"/>
        <v>0.75</v>
      </c>
      <c r="C35" s="481">
        <f t="shared" si="1"/>
        <v>4.2114318618604543</v>
      </c>
      <c r="D35" s="482">
        <f t="shared" si="2"/>
        <v>3.2114318618604543</v>
      </c>
      <c r="E35" s="481">
        <f t="shared" si="3"/>
        <v>12.266766125229601</v>
      </c>
      <c r="F35" s="540">
        <f t="shared" si="4"/>
        <v>0</v>
      </c>
      <c r="G35" s="540">
        <f t="shared" si="5"/>
        <v>12</v>
      </c>
      <c r="H35" s="540">
        <f t="shared" si="6"/>
        <v>0</v>
      </c>
      <c r="I35" s="733" t="str">
        <f t="shared" si="7"/>
        <v>Lower bowl</v>
      </c>
    </row>
    <row r="36" spans="1:9" x14ac:dyDescent="0.2">
      <c r="A36">
        <v>9</v>
      </c>
      <c r="B36" s="482">
        <f t="shared" si="0"/>
        <v>0.75</v>
      </c>
      <c r="C36" s="481">
        <f t="shared" si="1"/>
        <v>4.2835266811654478</v>
      </c>
      <c r="D36" s="482">
        <f t="shared" si="2"/>
        <v>3.2835266811654482</v>
      </c>
      <c r="E36" s="481">
        <f t="shared" si="3"/>
        <v>12.542148049958566</v>
      </c>
      <c r="F36" s="540">
        <f t="shared" si="4"/>
        <v>0</v>
      </c>
      <c r="G36" s="540">
        <f t="shared" si="5"/>
        <v>0</v>
      </c>
      <c r="H36" s="540">
        <f t="shared" si="6"/>
        <v>12</v>
      </c>
      <c r="I36" s="733" t="str">
        <f t="shared" si="7"/>
        <v>Lower bowl</v>
      </c>
    </row>
    <row r="37" spans="1:9" x14ac:dyDescent="0.2">
      <c r="A37">
        <v>10</v>
      </c>
      <c r="B37" s="482">
        <f t="shared" si="0"/>
        <v>0.75</v>
      </c>
      <c r="C37" s="481">
        <f t="shared" si="1"/>
        <v>4.3416342670280006</v>
      </c>
      <c r="D37" s="482">
        <f t="shared" si="2"/>
        <v>3.341634267028001</v>
      </c>
      <c r="E37" s="481">
        <f t="shared" si="3"/>
        <v>12.764102678466454</v>
      </c>
      <c r="F37" s="540">
        <f t="shared" si="4"/>
        <v>12</v>
      </c>
      <c r="G37" s="540">
        <f t="shared" si="5"/>
        <v>0</v>
      </c>
      <c r="H37" s="540">
        <f t="shared" si="6"/>
        <v>0</v>
      </c>
      <c r="I37" s="733" t="str">
        <f t="shared" si="7"/>
        <v>Lower bowl</v>
      </c>
    </row>
    <row r="38" spans="1:9" x14ac:dyDescent="0.2">
      <c r="A38">
        <v>11</v>
      </c>
      <c r="B38" s="482">
        <f t="shared" si="0"/>
        <v>0.75</v>
      </c>
      <c r="C38" s="481">
        <f t="shared" si="1"/>
        <v>4.386939571137292</v>
      </c>
      <c r="D38" s="482">
        <f t="shared" si="2"/>
        <v>3.3869395711372916</v>
      </c>
      <c r="E38" s="481">
        <f t="shared" si="3"/>
        <v>12.937156192801057</v>
      </c>
      <c r="F38" s="540">
        <f t="shared" si="4"/>
        <v>0</v>
      </c>
      <c r="G38" s="540">
        <f t="shared" si="5"/>
        <v>12</v>
      </c>
      <c r="H38" s="540">
        <f t="shared" si="6"/>
        <v>0</v>
      </c>
      <c r="I38" s="733" t="str">
        <f t="shared" si="7"/>
        <v>Lower bowl</v>
      </c>
    </row>
    <row r="39" spans="1:9" x14ac:dyDescent="0.2">
      <c r="A39">
        <v>12</v>
      </c>
      <c r="B39" s="482">
        <f t="shared" si="0"/>
        <v>0.75</v>
      </c>
      <c r="C39" s="481">
        <f t="shared" si="1"/>
        <v>4.4202746571703635</v>
      </c>
      <c r="D39" s="482">
        <f t="shared" si="2"/>
        <v>3.4202746571703639</v>
      </c>
      <c r="E39" s="481">
        <f t="shared" si="3"/>
        <v>13.064486842094428</v>
      </c>
      <c r="F39" s="540">
        <f t="shared" si="4"/>
        <v>0</v>
      </c>
      <c r="G39" s="540">
        <f t="shared" si="5"/>
        <v>0</v>
      </c>
      <c r="H39" s="540">
        <f t="shared" si="6"/>
        <v>12</v>
      </c>
      <c r="I39" s="733" t="str">
        <f t="shared" si="7"/>
        <v>Rim</v>
      </c>
    </row>
    <row r="40" spans="1:9" x14ac:dyDescent="0.2">
      <c r="A40">
        <v>13</v>
      </c>
      <c r="B40" s="482">
        <f t="shared" si="0"/>
        <v>0.75</v>
      </c>
      <c r="C40" s="481">
        <f t="shared" si="1"/>
        <v>4.442205980398974</v>
      </c>
      <c r="D40" s="482">
        <f t="shared" si="2"/>
        <v>3.4422059803989744</v>
      </c>
      <c r="E40" s="481">
        <f t="shared" si="3"/>
        <v>13.148258326103534</v>
      </c>
      <c r="F40" s="540">
        <f t="shared" si="4"/>
        <v>12</v>
      </c>
      <c r="G40" s="540">
        <f t="shared" si="5"/>
        <v>0</v>
      </c>
      <c r="H40" s="540">
        <f t="shared" si="6"/>
        <v>0</v>
      </c>
      <c r="I40" s="733" t="str">
        <f t="shared" si="7"/>
        <v>Rim</v>
      </c>
    </row>
    <row r="41" spans="1:9" x14ac:dyDescent="0.2">
      <c r="A41">
        <v>14</v>
      </c>
      <c r="B41" s="482">
        <f t="shared" si="0"/>
        <v>0.75</v>
      </c>
      <c r="C41" s="481">
        <f t="shared" si="1"/>
        <v>4.453086742586942</v>
      </c>
      <c r="D41" s="482">
        <f t="shared" si="2"/>
        <v>3.4530867425869416</v>
      </c>
      <c r="E41" s="481">
        <f t="shared" si="3"/>
        <v>13.189819776187271</v>
      </c>
      <c r="F41" s="540">
        <f t="shared" si="4"/>
        <v>0</v>
      </c>
      <c r="G41" s="540">
        <f t="shared" si="5"/>
        <v>12</v>
      </c>
      <c r="H41" s="540">
        <f t="shared" si="6"/>
        <v>0</v>
      </c>
      <c r="I41" s="733" t="str">
        <f t="shared" si="7"/>
        <v>Rim</v>
      </c>
    </row>
    <row r="42" spans="1:9" x14ac:dyDescent="0.2">
      <c r="A42" s="472" t="s">
        <v>1955</v>
      </c>
      <c r="D42" s="472"/>
      <c r="E42" s="472"/>
      <c r="F42" s="742">
        <f>SUM(F28:F41)</f>
        <v>60</v>
      </c>
      <c r="G42" s="742">
        <f>SUM(G28:G41)</f>
        <v>60</v>
      </c>
      <c r="H42" s="742">
        <f>SUM(H28:H41)</f>
        <v>48</v>
      </c>
      <c r="I42" s="742">
        <f>F42+G42+H42</f>
        <v>168</v>
      </c>
    </row>
    <row r="44" spans="1:9" ht="15" x14ac:dyDescent="0.25">
      <c r="A44" s="738" t="s">
        <v>3207</v>
      </c>
      <c r="B44" s="739"/>
      <c r="C44" s="739"/>
      <c r="D44" s="739"/>
      <c r="E44" s="739"/>
      <c r="F44" s="739"/>
      <c r="G44" s="739"/>
      <c r="H44" s="739"/>
      <c r="I44" s="739"/>
    </row>
    <row r="45" spans="1:9" x14ac:dyDescent="0.2">
      <c r="A45" t="s">
        <v>3208</v>
      </c>
      <c r="B45" s="564">
        <v>16</v>
      </c>
      <c r="C45" t="s">
        <v>3209</v>
      </c>
    </row>
    <row r="46" spans="1:9" x14ac:dyDescent="0.2">
      <c r="A46" t="s">
        <v>3210</v>
      </c>
      <c r="B46" s="469">
        <f>180/B45</f>
        <v>11.25</v>
      </c>
    </row>
    <row r="47" spans="1:9" x14ac:dyDescent="0.2">
      <c r="A47" t="s">
        <v>3211</v>
      </c>
      <c r="B47" s="481">
        <f>B6+1</f>
        <v>10.8</v>
      </c>
      <c r="C47" t="s">
        <v>3212</v>
      </c>
    </row>
    <row r="48" spans="1:9" x14ac:dyDescent="0.2">
      <c r="A48" t="s">
        <v>3213</v>
      </c>
      <c r="B48" s="482">
        <f>PI()*B5/B45</f>
        <v>3.9858956792420503</v>
      </c>
      <c r="C48" t="s">
        <v>3214</v>
      </c>
    </row>
    <row r="49" spans="1:12" x14ac:dyDescent="0.2">
      <c r="A49" t="s">
        <v>3215</v>
      </c>
      <c r="B49" s="482">
        <f>PI()*E28/B45</f>
        <v>1.4187623984693127</v>
      </c>
      <c r="C49" t="s">
        <v>3216</v>
      </c>
    </row>
    <row r="50" spans="1:12" x14ac:dyDescent="0.2">
      <c r="A50" t="s">
        <v>3217</v>
      </c>
      <c r="B50" s="596">
        <v>0.5</v>
      </c>
      <c r="C50" t="s">
        <v>3218</v>
      </c>
    </row>
    <row r="51" spans="1:12" x14ac:dyDescent="0.2">
      <c r="A51" t="s">
        <v>613</v>
      </c>
      <c r="B51" s="564" t="s">
        <v>398</v>
      </c>
    </row>
    <row r="52" spans="1:12" x14ac:dyDescent="0.2">
      <c r="A52" t="s">
        <v>3219</v>
      </c>
      <c r="B52" t="s">
        <v>3220</v>
      </c>
    </row>
    <row r="53" spans="1:12" x14ac:dyDescent="0.2">
      <c r="A53" t="s">
        <v>3221</v>
      </c>
      <c r="B53" t="s">
        <v>3222</v>
      </c>
    </row>
    <row r="54" spans="1:12" x14ac:dyDescent="0.2">
      <c r="A54" t="s">
        <v>3223</v>
      </c>
      <c r="B54" t="s">
        <v>3224</v>
      </c>
    </row>
    <row r="56" spans="1:12" ht="15" x14ac:dyDescent="0.25">
      <c r="A56" s="743" t="s">
        <v>3225</v>
      </c>
      <c r="B56" s="744"/>
      <c r="C56" s="744"/>
      <c r="D56" s="744"/>
      <c r="E56" s="744"/>
      <c r="F56" s="744"/>
      <c r="G56" s="744"/>
      <c r="H56" s="744"/>
      <c r="I56" s="744"/>
      <c r="J56" s="744"/>
      <c r="K56" s="744"/>
      <c r="L56" s="744"/>
    </row>
    <row r="57" spans="1:12" x14ac:dyDescent="0.2">
      <c r="A57" s="734" t="s">
        <v>3226</v>
      </c>
    </row>
    <row r="58" spans="1:12" x14ac:dyDescent="0.2">
      <c r="A58" s="475" t="s">
        <v>610</v>
      </c>
      <c r="B58" s="475" t="s">
        <v>785</v>
      </c>
      <c r="C58" s="475" t="s">
        <v>1945</v>
      </c>
      <c r="D58" s="475" t="s">
        <v>1272</v>
      </c>
      <c r="E58" s="475" t="s">
        <v>1368</v>
      </c>
      <c r="F58" s="475" t="s">
        <v>1946</v>
      </c>
      <c r="G58" s="475" t="s">
        <v>3227</v>
      </c>
      <c r="H58" s="475" t="s">
        <v>1188</v>
      </c>
      <c r="I58" s="475" t="s">
        <v>1947</v>
      </c>
      <c r="J58" s="475" t="s">
        <v>1948</v>
      </c>
      <c r="K58" s="475" t="s">
        <v>1949</v>
      </c>
      <c r="L58" s="475" t="s">
        <v>1246</v>
      </c>
    </row>
    <row r="59" spans="1:12" x14ac:dyDescent="0.2">
      <c r="A59">
        <v>1</v>
      </c>
      <c r="B59" t="s">
        <v>159</v>
      </c>
      <c r="C59">
        <v>6</v>
      </c>
      <c r="D59">
        <v>86</v>
      </c>
      <c r="E59" s="481">
        <f>440*2^((D59-69)/12)</f>
        <v>1174.6590716696303</v>
      </c>
      <c r="F59" s="565">
        <v>8.6999999999999993</v>
      </c>
      <c r="G59" s="733" t="s">
        <v>3228</v>
      </c>
      <c r="H59" t="str">
        <f>IF(A59&gt;=$B$14,"Wound","Nylon")</f>
        <v>Nylon</v>
      </c>
      <c r="I59" s="648">
        <f>2*SQRT(($B$10+(A59-1)*($B$11-$B$10)/20)*386.4/(IF(A59&gt;=$B$14,$B$12*$B$13,$B$12)*PI()*4*F59^2*E59^2))</f>
        <v>1.5058163637874357E-2</v>
      </c>
      <c r="J59" s="481">
        <f>IF(A59&gt;=$B$14,$B$12*$B$13,$B$12)*PI()*(I59/2)^2*4*F59^2*E59^2/386.4</f>
        <v>8.0000000000000018</v>
      </c>
      <c r="K59" s="755">
        <f>IF(A59&gt;=$B$14,$B$12*$B$13,$B$12)*4*F59^2*E59^2/(44600*386.4)</f>
        <v>1.0072127674255671</v>
      </c>
      <c r="L59" t="s">
        <v>1952</v>
      </c>
    </row>
    <row r="60" spans="1:12" x14ac:dyDescent="0.2">
      <c r="A60">
        <v>2</v>
      </c>
      <c r="B60" t="s">
        <v>73</v>
      </c>
      <c r="C60">
        <v>6</v>
      </c>
      <c r="D60">
        <v>84</v>
      </c>
      <c r="E60" s="481">
        <f t="shared" ref="E60:E79" si="8">440*2^((D60-69)/12)</f>
        <v>1046.5022612023945</v>
      </c>
      <c r="F60" s="565">
        <v>9.4</v>
      </c>
      <c r="G60" s="733" t="s">
        <v>3229</v>
      </c>
      <c r="H60" t="str">
        <f t="shared" ref="H60:H79" si="9">IF(A60&gt;=$B$14,"Wound","Nylon")</f>
        <v>Nylon</v>
      </c>
      <c r="I60" s="648">
        <f t="shared" ref="I60:I79" si="10">2*SQRT(($B$10+(A60-1)*($B$11-$B$10)/20)*386.4/(IF(A60&gt;=$B$14,$B$12*$B$13,$B$12)*PI()*4*F60^2*E60^2))</f>
        <v>1.5934158394656044E-2</v>
      </c>
      <c r="J60" s="481">
        <f t="shared" ref="J60:J79" si="11">IF(A60&gt;=$B$14,$B$12*$B$13,$B$12)*PI()*(I60/2)^2*4*F60^2*E60^2/386.4</f>
        <v>8.3000000000000025</v>
      </c>
      <c r="K60" s="755">
        <f>IF(A60&gt;=$B$14,$B$12*$B$13,$B$12)*4*F60^2*E60^2/(44600*386.4)</f>
        <v>0.93324375476465249</v>
      </c>
      <c r="L60" t="s">
        <v>1261</v>
      </c>
    </row>
    <row r="61" spans="1:12" x14ac:dyDescent="0.2">
      <c r="A61">
        <v>3</v>
      </c>
      <c r="B61" t="s">
        <v>1016</v>
      </c>
      <c r="C61">
        <v>5</v>
      </c>
      <c r="D61">
        <v>82</v>
      </c>
      <c r="E61" s="481">
        <f t="shared" si="8"/>
        <v>932.32752303617963</v>
      </c>
      <c r="F61" s="565">
        <v>10.199999999999999</v>
      </c>
      <c r="G61" s="733" t="s">
        <v>3228</v>
      </c>
      <c r="H61" t="str">
        <f t="shared" si="9"/>
        <v>Nylon</v>
      </c>
      <c r="I61" s="648">
        <f t="shared" si="10"/>
        <v>1.6777940781540223E-2</v>
      </c>
      <c r="J61" s="481">
        <f t="shared" si="11"/>
        <v>8.6000000000000014</v>
      </c>
      <c r="K61" s="755">
        <f>IF(A61&gt;=$B$14,$B$12*$B$13,$B$12)*4*F61^2*E61^2/(44600*386.4)</f>
        <v>0.87216046606248876</v>
      </c>
      <c r="L61" t="s">
        <v>1952</v>
      </c>
    </row>
    <row r="62" spans="1:12" x14ac:dyDescent="0.2">
      <c r="A62">
        <v>4</v>
      </c>
      <c r="B62" t="s">
        <v>61</v>
      </c>
      <c r="C62">
        <v>5</v>
      </c>
      <c r="D62">
        <v>81</v>
      </c>
      <c r="E62" s="481">
        <f t="shared" si="8"/>
        <v>880</v>
      </c>
      <c r="F62" s="565">
        <v>11</v>
      </c>
      <c r="G62" s="733" t="s">
        <v>3229</v>
      </c>
      <c r="H62" t="str">
        <f t="shared" si="9"/>
        <v>Nylon</v>
      </c>
      <c r="I62" s="648">
        <f t="shared" si="10"/>
        <v>1.6767864448484458E-2</v>
      </c>
      <c r="J62" s="481">
        <f t="shared" si="11"/>
        <v>8.8999999999999986</v>
      </c>
      <c r="K62" s="755">
        <f>IF(A62&gt;=$B$14,$B$12*$B$13,$B$12)*4*F62^2*E62^2/(44600*386.4)</f>
        <v>0.90366977689886629</v>
      </c>
      <c r="L62" t="s">
        <v>1952</v>
      </c>
    </row>
    <row r="63" spans="1:12" x14ac:dyDescent="0.2">
      <c r="A63">
        <v>5</v>
      </c>
      <c r="B63" t="s">
        <v>64</v>
      </c>
      <c r="C63">
        <v>5</v>
      </c>
      <c r="D63">
        <v>79</v>
      </c>
      <c r="E63" s="481">
        <f t="shared" si="8"/>
        <v>783.99087196349853</v>
      </c>
      <c r="F63" s="565">
        <v>12</v>
      </c>
      <c r="G63" s="733" t="s">
        <v>3228</v>
      </c>
      <c r="H63" t="str">
        <f t="shared" si="9"/>
        <v>Nylon</v>
      </c>
      <c r="I63" s="648">
        <f t="shared" si="10"/>
        <v>1.7541218966825364E-2</v>
      </c>
      <c r="J63" s="481">
        <f t="shared" si="11"/>
        <v>9.2000000000000028</v>
      </c>
      <c r="K63" s="755">
        <f>IF(A63&gt;=$B$14,$B$12*$B$13,$B$12)*4*F63^2*E63^2/(44600*386.4)</f>
        <v>0.85357865721191106</v>
      </c>
      <c r="L63" t="s">
        <v>1952</v>
      </c>
    </row>
    <row r="64" spans="1:12" x14ac:dyDescent="0.2">
      <c r="A64">
        <v>6</v>
      </c>
      <c r="B64" t="s">
        <v>79</v>
      </c>
      <c r="C64">
        <v>5</v>
      </c>
      <c r="D64">
        <v>77</v>
      </c>
      <c r="E64" s="481">
        <f t="shared" si="8"/>
        <v>698.45646286600777</v>
      </c>
      <c r="F64" s="565">
        <v>13</v>
      </c>
      <c r="G64" s="733" t="s">
        <v>3229</v>
      </c>
      <c r="H64" t="str">
        <f t="shared" si="9"/>
        <v>Nylon</v>
      </c>
      <c r="I64" s="648">
        <f t="shared" si="10"/>
        <v>1.8468737921749766E-2</v>
      </c>
      <c r="J64" s="481">
        <f t="shared" si="11"/>
        <v>9.5000000000000018</v>
      </c>
      <c r="K64" s="702">
        <f t="shared" ref="K64:K79" si="12">IF(A64&gt;=$B$14,$B$12*$B$13,$B$12)*4*F64^2*E64^2/(44600*386.4)</f>
        <v>0.79510489676697449</v>
      </c>
      <c r="L64" t="s">
        <v>1953</v>
      </c>
    </row>
    <row r="65" spans="1:12" x14ac:dyDescent="0.2">
      <c r="A65">
        <v>7</v>
      </c>
      <c r="B65" t="s">
        <v>76</v>
      </c>
      <c r="C65">
        <v>5</v>
      </c>
      <c r="D65">
        <v>76</v>
      </c>
      <c r="E65" s="481">
        <f t="shared" si="8"/>
        <v>659.25511382573984</v>
      </c>
      <c r="F65" s="565">
        <v>13.8</v>
      </c>
      <c r="G65" s="733" t="s">
        <v>3228</v>
      </c>
      <c r="H65" t="str">
        <f t="shared" si="9"/>
        <v>Nylon</v>
      </c>
      <c r="I65" s="648">
        <f t="shared" si="10"/>
        <v>1.8721409920945134E-2</v>
      </c>
      <c r="J65" s="481">
        <f t="shared" si="11"/>
        <v>9.8000000000000007</v>
      </c>
      <c r="K65" s="702">
        <f t="shared" si="12"/>
        <v>0.79822298710563477</v>
      </c>
      <c r="L65" t="s">
        <v>1952</v>
      </c>
    </row>
    <row r="66" spans="1:12" x14ac:dyDescent="0.2">
      <c r="A66">
        <v>8</v>
      </c>
      <c r="B66" t="s">
        <v>159</v>
      </c>
      <c r="C66">
        <v>5</v>
      </c>
      <c r="D66">
        <v>74</v>
      </c>
      <c r="E66" s="481">
        <f t="shared" si="8"/>
        <v>587.32953583481515</v>
      </c>
      <c r="F66" s="565">
        <v>15</v>
      </c>
      <c r="G66" s="733" t="s">
        <v>3229</v>
      </c>
      <c r="H66" t="str">
        <f t="shared" si="9"/>
        <v>Nylon</v>
      </c>
      <c r="I66" s="648">
        <f t="shared" si="10"/>
        <v>1.9626628178619251E-2</v>
      </c>
      <c r="J66" s="481">
        <f t="shared" si="11"/>
        <v>10.1</v>
      </c>
      <c r="K66" s="702">
        <f t="shared" si="12"/>
        <v>0.74852316247441086</v>
      </c>
      <c r="L66" t="s">
        <v>1952</v>
      </c>
    </row>
    <row r="67" spans="1:12" x14ac:dyDescent="0.2">
      <c r="A67">
        <v>9</v>
      </c>
      <c r="B67" t="s">
        <v>73</v>
      </c>
      <c r="C67">
        <v>5</v>
      </c>
      <c r="D67">
        <v>72</v>
      </c>
      <c r="E67" s="481">
        <f t="shared" si="8"/>
        <v>523.25113060119725</v>
      </c>
      <c r="F67" s="565">
        <v>16.2</v>
      </c>
      <c r="G67" s="733" t="s">
        <v>3228</v>
      </c>
      <c r="H67" t="str">
        <f t="shared" si="9"/>
        <v>Nylon</v>
      </c>
      <c r="I67" s="648">
        <f t="shared" si="10"/>
        <v>2.0699010658421592E-2</v>
      </c>
      <c r="J67" s="481">
        <f t="shared" si="11"/>
        <v>10.399999999999997</v>
      </c>
      <c r="K67" s="702">
        <f t="shared" si="12"/>
        <v>0.69296200486768722</v>
      </c>
      <c r="L67" t="s">
        <v>1261</v>
      </c>
    </row>
    <row r="68" spans="1:12" x14ac:dyDescent="0.2">
      <c r="A68">
        <v>10</v>
      </c>
      <c r="B68" t="s">
        <v>1016</v>
      </c>
      <c r="C68">
        <v>4</v>
      </c>
      <c r="D68">
        <v>70</v>
      </c>
      <c r="E68" s="481">
        <f t="shared" si="8"/>
        <v>466.16376151808993</v>
      </c>
      <c r="F68" s="565">
        <v>17.5</v>
      </c>
      <c r="G68" s="733" t="s">
        <v>3229</v>
      </c>
      <c r="H68" t="str">
        <f t="shared" si="9"/>
        <v>Nylon</v>
      </c>
      <c r="I68" s="648">
        <f t="shared" si="10"/>
        <v>2.1815915318506029E-2</v>
      </c>
      <c r="J68" s="481">
        <f t="shared" si="11"/>
        <v>10.7</v>
      </c>
      <c r="K68" s="702">
        <f t="shared" si="12"/>
        <v>0.64181839372269622</v>
      </c>
      <c r="L68" t="s">
        <v>1952</v>
      </c>
    </row>
    <row r="69" spans="1:12" x14ac:dyDescent="0.2">
      <c r="A69">
        <v>11</v>
      </c>
      <c r="B69" t="s">
        <v>61</v>
      </c>
      <c r="C69">
        <v>4</v>
      </c>
      <c r="D69">
        <v>69</v>
      </c>
      <c r="E69" s="481">
        <f t="shared" si="8"/>
        <v>440</v>
      </c>
      <c r="F69" s="565">
        <v>18.5</v>
      </c>
      <c r="G69" s="733" t="s">
        <v>3228</v>
      </c>
      <c r="H69" t="str">
        <f t="shared" si="9"/>
        <v>Nylon</v>
      </c>
      <c r="I69" s="648">
        <f t="shared" si="10"/>
        <v>2.2168180357561743E-2</v>
      </c>
      <c r="J69" s="481">
        <f t="shared" si="11"/>
        <v>11</v>
      </c>
      <c r="K69" s="702">
        <f t="shared" si="12"/>
        <v>0.63901029161908474</v>
      </c>
      <c r="L69" t="s">
        <v>1952</v>
      </c>
    </row>
    <row r="70" spans="1:12" x14ac:dyDescent="0.2">
      <c r="A70">
        <v>12</v>
      </c>
      <c r="B70" t="s">
        <v>64</v>
      </c>
      <c r="C70">
        <v>4</v>
      </c>
      <c r="D70">
        <v>67</v>
      </c>
      <c r="E70" s="481">
        <f t="shared" si="8"/>
        <v>391.99543598174927</v>
      </c>
      <c r="F70" s="565">
        <v>19.8</v>
      </c>
      <c r="G70" s="733" t="s">
        <v>3229</v>
      </c>
      <c r="H70" t="str">
        <f t="shared" si="9"/>
        <v>Nylon</v>
      </c>
      <c r="I70" s="648">
        <f t="shared" si="10"/>
        <v>2.356411477456637E-2</v>
      </c>
      <c r="J70" s="481">
        <f t="shared" si="11"/>
        <v>11.300000000000004</v>
      </c>
      <c r="K70" s="702">
        <f t="shared" si="12"/>
        <v>0.58096697356485716</v>
      </c>
      <c r="L70" t="s">
        <v>1952</v>
      </c>
    </row>
    <row r="71" spans="1:12" x14ac:dyDescent="0.2">
      <c r="A71">
        <v>13</v>
      </c>
      <c r="B71" t="s">
        <v>79</v>
      </c>
      <c r="C71">
        <v>4</v>
      </c>
      <c r="D71">
        <v>65</v>
      </c>
      <c r="E71" s="481">
        <f t="shared" si="8"/>
        <v>349.22823143300388</v>
      </c>
      <c r="F71" s="565">
        <v>21.2</v>
      </c>
      <c r="G71" s="733" t="s">
        <v>3228</v>
      </c>
      <c r="H71" t="str">
        <f t="shared" si="9"/>
        <v>Nylon</v>
      </c>
      <c r="I71" s="648">
        <f t="shared" si="10"/>
        <v>2.5028907746565965E-2</v>
      </c>
      <c r="J71" s="481">
        <f t="shared" si="11"/>
        <v>11.6</v>
      </c>
      <c r="K71" s="702">
        <f t="shared" si="12"/>
        <v>0.52862713728246902</v>
      </c>
      <c r="L71" t="s">
        <v>1953</v>
      </c>
    </row>
    <row r="72" spans="1:12" x14ac:dyDescent="0.2">
      <c r="A72">
        <v>14</v>
      </c>
      <c r="B72" t="s">
        <v>76</v>
      </c>
      <c r="C72">
        <v>4</v>
      </c>
      <c r="D72">
        <v>64</v>
      </c>
      <c r="E72" s="481">
        <f t="shared" si="8"/>
        <v>329.62755691286992</v>
      </c>
      <c r="F72" s="565">
        <v>22.5</v>
      </c>
      <c r="G72" s="733" t="s">
        <v>3229</v>
      </c>
      <c r="H72" t="str">
        <f t="shared" si="9"/>
        <v>Nylon</v>
      </c>
      <c r="I72" s="648">
        <f t="shared" si="10"/>
        <v>2.5306119785456532E-2</v>
      </c>
      <c r="J72" s="481">
        <f t="shared" si="11"/>
        <v>11.9</v>
      </c>
      <c r="K72" s="702">
        <f t="shared" si="12"/>
        <v>0.53048254991365706</v>
      </c>
      <c r="L72" t="s">
        <v>1952</v>
      </c>
    </row>
    <row r="73" spans="1:12" x14ac:dyDescent="0.2">
      <c r="A73">
        <v>15</v>
      </c>
      <c r="B73" t="s">
        <v>159</v>
      </c>
      <c r="C73">
        <v>4</v>
      </c>
      <c r="D73">
        <v>62</v>
      </c>
      <c r="E73" s="481">
        <f t="shared" si="8"/>
        <v>293.66476791740757</v>
      </c>
      <c r="F73" s="565">
        <v>24</v>
      </c>
      <c r="G73" s="733" t="s">
        <v>3228</v>
      </c>
      <c r="H73" t="str">
        <f t="shared" si="9"/>
        <v>Nylon</v>
      </c>
      <c r="I73" s="648">
        <f t="shared" si="10"/>
        <v>2.6963417503316781E-2</v>
      </c>
      <c r="J73" s="481">
        <f t="shared" si="11"/>
        <v>12.199999999999998</v>
      </c>
      <c r="K73" s="702">
        <f t="shared" si="12"/>
        <v>0.47905482398362298</v>
      </c>
      <c r="L73" t="s">
        <v>1952</v>
      </c>
    </row>
    <row r="74" spans="1:12" x14ac:dyDescent="0.2">
      <c r="A74">
        <v>16</v>
      </c>
      <c r="B74" t="s">
        <v>73</v>
      </c>
      <c r="C74">
        <v>4</v>
      </c>
      <c r="D74">
        <v>60</v>
      </c>
      <c r="E74" s="481">
        <f t="shared" si="8"/>
        <v>261.62556530059862</v>
      </c>
      <c r="F74" s="565">
        <v>25.5</v>
      </c>
      <c r="G74" s="733" t="s">
        <v>3229</v>
      </c>
      <c r="H74" t="str">
        <f t="shared" si="9"/>
        <v>Nylon</v>
      </c>
      <c r="I74" s="648">
        <f t="shared" si="10"/>
        <v>2.8833194048331699E-2</v>
      </c>
      <c r="J74" s="481">
        <f t="shared" si="11"/>
        <v>12.499999999999998</v>
      </c>
      <c r="K74" s="702">
        <f t="shared" si="12"/>
        <v>0.42923958206181761</v>
      </c>
      <c r="L74" t="s">
        <v>1261</v>
      </c>
    </row>
    <row r="75" spans="1:12" x14ac:dyDescent="0.2">
      <c r="A75">
        <v>17</v>
      </c>
      <c r="B75" t="s">
        <v>1016</v>
      </c>
      <c r="C75">
        <v>3</v>
      </c>
      <c r="D75">
        <v>58</v>
      </c>
      <c r="E75" s="481">
        <f t="shared" si="8"/>
        <v>233.08188075904496</v>
      </c>
      <c r="F75" s="565">
        <v>27</v>
      </c>
      <c r="G75" s="733" t="s">
        <v>3228</v>
      </c>
      <c r="H75" t="str">
        <f t="shared" si="9"/>
        <v>Nylon</v>
      </c>
      <c r="I75" s="648">
        <f t="shared" si="10"/>
        <v>3.0930775963925176E-2</v>
      </c>
      <c r="J75" s="481">
        <f t="shared" si="11"/>
        <v>12.8</v>
      </c>
      <c r="K75" s="702">
        <f t="shared" si="12"/>
        <v>0.38194743593783315</v>
      </c>
      <c r="L75" t="s">
        <v>1952</v>
      </c>
    </row>
    <row r="76" spans="1:12" x14ac:dyDescent="0.2">
      <c r="A76">
        <v>18</v>
      </c>
      <c r="B76" t="s">
        <v>61</v>
      </c>
      <c r="C76">
        <v>3</v>
      </c>
      <c r="D76">
        <v>57</v>
      </c>
      <c r="E76" s="481">
        <f t="shared" si="8"/>
        <v>220</v>
      </c>
      <c r="F76" s="565">
        <v>28.2</v>
      </c>
      <c r="G76" s="733" t="s">
        <v>3229</v>
      </c>
      <c r="H76" t="str">
        <f t="shared" si="9"/>
        <v>Wound</v>
      </c>
      <c r="I76" s="648">
        <f t="shared" si="10"/>
        <v>2.0074834002602699E-2</v>
      </c>
      <c r="J76" s="481">
        <f t="shared" si="11"/>
        <v>13.099999999999996</v>
      </c>
      <c r="K76" s="755">
        <f>IF(A76&gt;=$B$14,$B$12*$B$13,$B$12)*4*F76^2*E76^2/(44600*386.4)</f>
        <v>0.92798857616355168</v>
      </c>
      <c r="L76" t="s">
        <v>1952</v>
      </c>
    </row>
    <row r="77" spans="1:12" x14ac:dyDescent="0.2">
      <c r="A77">
        <v>19</v>
      </c>
      <c r="B77" t="s">
        <v>64</v>
      </c>
      <c r="C77">
        <v>3</v>
      </c>
      <c r="D77">
        <v>55</v>
      </c>
      <c r="E77" s="481">
        <f t="shared" si="8"/>
        <v>195.99771799087463</v>
      </c>
      <c r="F77" s="565">
        <v>29.5</v>
      </c>
      <c r="G77" s="733" t="s">
        <v>3228</v>
      </c>
      <c r="H77" t="str">
        <f t="shared" si="9"/>
        <v>Wound</v>
      </c>
      <c r="I77" s="648">
        <f t="shared" si="10"/>
        <v>2.1785497018116374E-2</v>
      </c>
      <c r="J77" s="481">
        <f t="shared" si="11"/>
        <v>13.400000000000002</v>
      </c>
      <c r="K77" s="702">
        <f t="shared" si="12"/>
        <v>0.80601869188223263</v>
      </c>
      <c r="L77" t="s">
        <v>1952</v>
      </c>
    </row>
    <row r="78" spans="1:12" x14ac:dyDescent="0.2">
      <c r="A78">
        <v>20</v>
      </c>
      <c r="B78" t="s">
        <v>79</v>
      </c>
      <c r="C78">
        <v>3</v>
      </c>
      <c r="D78">
        <v>53</v>
      </c>
      <c r="E78" s="481">
        <f t="shared" si="8"/>
        <v>174.61411571650197</v>
      </c>
      <c r="F78" s="565">
        <v>30.5</v>
      </c>
      <c r="G78" s="733" t="s">
        <v>3229</v>
      </c>
      <c r="H78" t="str">
        <f t="shared" si="9"/>
        <v>Wound</v>
      </c>
      <c r="I78" s="648">
        <f t="shared" si="10"/>
        <v>2.3914934703424064E-2</v>
      </c>
      <c r="J78" s="481">
        <f t="shared" si="11"/>
        <v>13.700000000000001</v>
      </c>
      <c r="K78" s="702">
        <f t="shared" si="12"/>
        <v>0.68384461003834907</v>
      </c>
      <c r="L78" t="s">
        <v>1953</v>
      </c>
    </row>
    <row r="79" spans="1:12" x14ac:dyDescent="0.2">
      <c r="A79">
        <v>21</v>
      </c>
      <c r="B79" t="s">
        <v>79</v>
      </c>
      <c r="C79">
        <v>3</v>
      </c>
      <c r="D79">
        <v>53</v>
      </c>
      <c r="E79" s="481">
        <f t="shared" si="8"/>
        <v>174.61411571650197</v>
      </c>
      <c r="F79" s="565">
        <v>31.1</v>
      </c>
      <c r="G79" s="733" t="s">
        <v>3228</v>
      </c>
      <c r="H79" t="str">
        <f t="shared" si="9"/>
        <v>Wound</v>
      </c>
      <c r="I79" s="648">
        <f t="shared" si="10"/>
        <v>2.3708953452063107E-2</v>
      </c>
      <c r="J79" s="481">
        <f t="shared" si="11"/>
        <v>14</v>
      </c>
      <c r="K79" s="702">
        <f t="shared" si="12"/>
        <v>0.71101461464680626</v>
      </c>
      <c r="L79" t="s">
        <v>1953</v>
      </c>
    </row>
    <row r="81" spans="1:6" ht="15" x14ac:dyDescent="0.25">
      <c r="A81" s="745" t="s">
        <v>3230</v>
      </c>
      <c r="B81" s="746"/>
      <c r="C81" s="746"/>
      <c r="D81" s="746"/>
      <c r="E81" s="746"/>
      <c r="F81" s="746"/>
    </row>
    <row r="82" spans="1:6" x14ac:dyDescent="0.2">
      <c r="A82" t="s">
        <v>2814</v>
      </c>
      <c r="B82" s="564" t="s">
        <v>3231</v>
      </c>
      <c r="C82" t="s">
        <v>3232</v>
      </c>
    </row>
    <row r="83" spans="1:6" x14ac:dyDescent="0.2">
      <c r="A83" t="s">
        <v>3233</v>
      </c>
      <c r="B83" s="565">
        <v>2.5</v>
      </c>
      <c r="C83" t="s">
        <v>3234</v>
      </c>
    </row>
    <row r="84" spans="1:6" x14ac:dyDescent="0.2">
      <c r="A84" t="s">
        <v>3235</v>
      </c>
      <c r="B84" s="565">
        <v>6</v>
      </c>
      <c r="C84" t="s">
        <v>3236</v>
      </c>
    </row>
    <row r="85" spans="1:6" x14ac:dyDescent="0.2">
      <c r="A85" t="s">
        <v>3237</v>
      </c>
      <c r="B85" s="596">
        <v>0.75</v>
      </c>
    </row>
    <row r="86" spans="1:6" x14ac:dyDescent="0.2">
      <c r="A86" t="s">
        <v>3238</v>
      </c>
      <c r="B86" s="564" t="s">
        <v>3239</v>
      </c>
      <c r="C86" t="s">
        <v>3240</v>
      </c>
    </row>
    <row r="87" spans="1:6" x14ac:dyDescent="0.2">
      <c r="A87" t="s">
        <v>3241</v>
      </c>
      <c r="B87" s="596">
        <v>0.125</v>
      </c>
      <c r="C87" t="s">
        <v>3242</v>
      </c>
    </row>
    <row r="88" spans="1:6" x14ac:dyDescent="0.2">
      <c r="A88" t="s">
        <v>3243</v>
      </c>
      <c r="B88" s="482">
        <f>B84/(21+1)</f>
        <v>0.27272727272727271</v>
      </c>
      <c r="C88" t="s">
        <v>3244</v>
      </c>
    </row>
    <row r="89" spans="1:6" x14ac:dyDescent="0.2">
      <c r="A89" t="s">
        <v>3245</v>
      </c>
      <c r="B89" t="s">
        <v>3246</v>
      </c>
    </row>
    <row r="90" spans="1:6" x14ac:dyDescent="0.2">
      <c r="A90" t="s">
        <v>3247</v>
      </c>
      <c r="B90" t="s">
        <v>3248</v>
      </c>
    </row>
    <row r="92" spans="1:6" ht="15" x14ac:dyDescent="0.25">
      <c r="A92" s="747" t="s">
        <v>3249</v>
      </c>
      <c r="B92" s="748"/>
      <c r="C92" s="748"/>
      <c r="D92" s="748"/>
      <c r="E92" s="748"/>
      <c r="F92" s="748"/>
    </row>
    <row r="93" spans="1:6" x14ac:dyDescent="0.2">
      <c r="A93" t="s">
        <v>3250</v>
      </c>
      <c r="B93" s="564" t="s">
        <v>3251</v>
      </c>
    </row>
    <row r="94" spans="1:6" x14ac:dyDescent="0.2">
      <c r="A94" t="s">
        <v>3252</v>
      </c>
      <c r="B94" s="564" t="s">
        <v>3253</v>
      </c>
      <c r="C94" t="s">
        <v>3254</v>
      </c>
    </row>
    <row r="95" spans="1:6" x14ac:dyDescent="0.2">
      <c r="A95" t="s">
        <v>3255</v>
      </c>
      <c r="B95" s="564" t="s">
        <v>3256</v>
      </c>
    </row>
    <row r="96" spans="1:6" x14ac:dyDescent="0.2">
      <c r="A96" t="s">
        <v>3257</v>
      </c>
      <c r="B96" s="564" t="s">
        <v>3258</v>
      </c>
    </row>
    <row r="97" spans="1:8" x14ac:dyDescent="0.2">
      <c r="A97" t="s">
        <v>3259</v>
      </c>
      <c r="B97" s="564" t="s">
        <v>3260</v>
      </c>
    </row>
    <row r="98" spans="1:8" x14ac:dyDescent="0.2">
      <c r="A98" t="s">
        <v>2</v>
      </c>
      <c r="B98" s="564" t="s">
        <v>3261</v>
      </c>
    </row>
    <row r="100" spans="1:8" ht="15" x14ac:dyDescent="0.25">
      <c r="A100" s="749" t="s">
        <v>1543</v>
      </c>
      <c r="B100" s="750"/>
      <c r="C100" s="750"/>
      <c r="D100" s="750"/>
      <c r="E100" s="750"/>
      <c r="F100" s="750"/>
      <c r="G100" s="750"/>
      <c r="H100" s="750"/>
    </row>
    <row r="101" spans="1:8" x14ac:dyDescent="0.2">
      <c r="A101" s="475" t="s">
        <v>610</v>
      </c>
      <c r="B101" s="478" t="s">
        <v>1544</v>
      </c>
      <c r="C101" s="475" t="s">
        <v>1545</v>
      </c>
      <c r="D101" s="475" t="s">
        <v>1546</v>
      </c>
      <c r="E101" s="475" t="s">
        <v>1547</v>
      </c>
      <c r="F101" s="475" t="s">
        <v>1188</v>
      </c>
      <c r="G101" s="475" t="s">
        <v>1548</v>
      </c>
      <c r="H101" s="475" t="s">
        <v>1549</v>
      </c>
    </row>
    <row r="102" spans="1:8" x14ac:dyDescent="0.2">
      <c r="A102">
        <v>1</v>
      </c>
      <c r="B102" t="s">
        <v>3262</v>
      </c>
      <c r="C102" t="s">
        <v>3263</v>
      </c>
      <c r="D102">
        <f>B24</f>
        <v>168</v>
      </c>
      <c r="E102" t="s">
        <v>3264</v>
      </c>
      <c r="F102" t="s">
        <v>3265</v>
      </c>
      <c r="G102" t="s">
        <v>3266</v>
      </c>
    </row>
    <row r="103" spans="1:8" x14ac:dyDescent="0.2">
      <c r="A103">
        <v>2</v>
      </c>
      <c r="B103" t="s">
        <v>3262</v>
      </c>
      <c r="C103" t="s">
        <v>3267</v>
      </c>
      <c r="D103">
        <f>B45</f>
        <v>16</v>
      </c>
      <c r="E103" s="330" t="s">
        <v>3321</v>
      </c>
      <c r="F103" t="s">
        <v>398</v>
      </c>
      <c r="G103" t="s">
        <v>3268</v>
      </c>
    </row>
    <row r="104" spans="1:8" x14ac:dyDescent="0.2">
      <c r="A104">
        <v>3</v>
      </c>
      <c r="B104" t="s">
        <v>1894</v>
      </c>
      <c r="C104" t="s">
        <v>2456</v>
      </c>
      <c r="D104">
        <v>1</v>
      </c>
      <c r="E104" t="s">
        <v>3269</v>
      </c>
      <c r="F104" t="s">
        <v>3270</v>
      </c>
      <c r="G104" t="s">
        <v>3271</v>
      </c>
    </row>
    <row r="105" spans="1:8" x14ac:dyDescent="0.2">
      <c r="A105">
        <v>4</v>
      </c>
      <c r="B105" t="s">
        <v>3272</v>
      </c>
      <c r="C105" t="s">
        <v>3197</v>
      </c>
      <c r="D105">
        <v>1</v>
      </c>
      <c r="E105" t="s">
        <v>3273</v>
      </c>
      <c r="F105" t="s">
        <v>3274</v>
      </c>
      <c r="G105" t="s">
        <v>3275</v>
      </c>
    </row>
    <row r="106" spans="1:8" x14ac:dyDescent="0.2">
      <c r="A106">
        <v>5</v>
      </c>
      <c r="B106" t="s">
        <v>1558</v>
      </c>
      <c r="C106" t="s">
        <v>3276</v>
      </c>
      <c r="D106">
        <v>1</v>
      </c>
      <c r="E106" t="s">
        <v>3277</v>
      </c>
      <c r="F106" t="s">
        <v>3239</v>
      </c>
      <c r="G106" t="s">
        <v>3278</v>
      </c>
    </row>
    <row r="107" spans="1:8" x14ac:dyDescent="0.2">
      <c r="A107">
        <v>6</v>
      </c>
      <c r="B107" t="s">
        <v>1824</v>
      </c>
      <c r="C107" t="s">
        <v>3279</v>
      </c>
      <c r="D107">
        <v>17</v>
      </c>
      <c r="E107" t="s">
        <v>3280</v>
      </c>
      <c r="F107" t="s">
        <v>1951</v>
      </c>
      <c r="G107" t="s">
        <v>3281</v>
      </c>
    </row>
    <row r="108" spans="1:8" x14ac:dyDescent="0.2">
      <c r="A108">
        <v>7</v>
      </c>
      <c r="B108" t="s">
        <v>1824</v>
      </c>
      <c r="C108" t="s">
        <v>3282</v>
      </c>
      <c r="D108">
        <v>4</v>
      </c>
      <c r="E108" t="s">
        <v>3280</v>
      </c>
      <c r="F108" t="s">
        <v>3283</v>
      </c>
      <c r="G108" t="s">
        <v>3284</v>
      </c>
    </row>
    <row r="109" spans="1:8" x14ac:dyDescent="0.2">
      <c r="A109">
        <v>8</v>
      </c>
      <c r="B109" t="s">
        <v>1557</v>
      </c>
      <c r="C109" t="s">
        <v>3285</v>
      </c>
      <c r="D109">
        <v>21</v>
      </c>
      <c r="E109" t="s">
        <v>3286</v>
      </c>
      <c r="F109" t="s">
        <v>3287</v>
      </c>
      <c r="G109" t="s">
        <v>3288</v>
      </c>
    </row>
    <row r="110" spans="1:8" x14ac:dyDescent="0.2">
      <c r="A110">
        <v>9</v>
      </c>
      <c r="B110" t="s">
        <v>1557</v>
      </c>
      <c r="C110" t="s">
        <v>3289</v>
      </c>
      <c r="D110">
        <v>21</v>
      </c>
      <c r="E110" t="s">
        <v>3290</v>
      </c>
      <c r="F110" t="s">
        <v>3291</v>
      </c>
      <c r="G110" t="s">
        <v>3292</v>
      </c>
    </row>
    <row r="111" spans="1:8" x14ac:dyDescent="0.2">
      <c r="A111">
        <v>10</v>
      </c>
      <c r="B111" t="s">
        <v>1557</v>
      </c>
      <c r="C111" t="s">
        <v>3293</v>
      </c>
      <c r="D111">
        <v>1</v>
      </c>
      <c r="E111" t="s">
        <v>3294</v>
      </c>
      <c r="F111" t="s">
        <v>3295</v>
      </c>
      <c r="G111" t="s">
        <v>3296</v>
      </c>
    </row>
    <row r="112" spans="1:8" x14ac:dyDescent="0.2">
      <c r="A112">
        <v>11</v>
      </c>
      <c r="B112" t="s">
        <v>1557</v>
      </c>
      <c r="C112" t="s">
        <v>3297</v>
      </c>
      <c r="D112">
        <v>24</v>
      </c>
      <c r="E112" t="s">
        <v>3298</v>
      </c>
      <c r="F112" t="s">
        <v>3299</v>
      </c>
      <c r="G112" t="s">
        <v>3300</v>
      </c>
    </row>
    <row r="113" spans="1:7" x14ac:dyDescent="0.2">
      <c r="A113">
        <v>12</v>
      </c>
      <c r="B113" t="s">
        <v>3301</v>
      </c>
      <c r="C113" t="s">
        <v>3302</v>
      </c>
      <c r="D113">
        <v>1</v>
      </c>
      <c r="E113" t="s">
        <v>3303</v>
      </c>
      <c r="F113" t="s">
        <v>3304</v>
      </c>
      <c r="G113" t="s">
        <v>3305</v>
      </c>
    </row>
    <row r="114" spans="1:7" x14ac:dyDescent="0.2">
      <c r="A114">
        <v>13</v>
      </c>
      <c r="B114" t="s">
        <v>3301</v>
      </c>
      <c r="C114" t="s">
        <v>3306</v>
      </c>
      <c r="D114">
        <v>1</v>
      </c>
      <c r="E114" t="s">
        <v>3307</v>
      </c>
      <c r="F114" t="s">
        <v>3308</v>
      </c>
      <c r="G114" t="s">
        <v>3309</v>
      </c>
    </row>
    <row r="115" spans="1:7" x14ac:dyDescent="0.2">
      <c r="A115">
        <v>14</v>
      </c>
      <c r="B115" t="s">
        <v>3301</v>
      </c>
      <c r="C115" t="s">
        <v>3310</v>
      </c>
      <c r="D115">
        <v>1</v>
      </c>
      <c r="E115" t="s">
        <v>3311</v>
      </c>
      <c r="F115" t="s">
        <v>3312</v>
      </c>
      <c r="G115" t="s">
        <v>3313</v>
      </c>
    </row>
    <row r="116" spans="1:7" x14ac:dyDescent="0.2">
      <c r="A116">
        <v>15</v>
      </c>
      <c r="B116" t="s">
        <v>1613</v>
      </c>
      <c r="C116" t="s">
        <v>3314</v>
      </c>
      <c r="D116">
        <v>1</v>
      </c>
      <c r="E116" t="s">
        <v>3315</v>
      </c>
      <c r="G116" t="s">
        <v>3316</v>
      </c>
    </row>
    <row r="117" spans="1:7" x14ac:dyDescent="0.2">
      <c r="A117">
        <v>16</v>
      </c>
      <c r="B117" t="s">
        <v>1613</v>
      </c>
      <c r="C117" t="s">
        <v>1607</v>
      </c>
      <c r="D117">
        <v>1</v>
      </c>
      <c r="E117" t="s">
        <v>3317</v>
      </c>
      <c r="G117" t="s">
        <v>3318</v>
      </c>
    </row>
    <row r="118" spans="1:7" x14ac:dyDescent="0.2">
      <c r="A118">
        <v>17</v>
      </c>
      <c r="B118" t="s">
        <v>1785</v>
      </c>
      <c r="C118" t="s">
        <v>3319</v>
      </c>
      <c r="D118">
        <v>1</v>
      </c>
      <c r="E118" t="s">
        <v>2739</v>
      </c>
      <c r="G118" t="s">
        <v>3320</v>
      </c>
    </row>
    <row r="120" spans="1:7" ht="15" x14ac:dyDescent="0.25">
      <c r="A120" s="749" t="s">
        <v>1849</v>
      </c>
      <c r="B120" s="750"/>
      <c r="C120" s="750"/>
      <c r="D120" s="750"/>
      <c r="E120" s="750"/>
      <c r="F120" s="750"/>
      <c r="G120" s="750"/>
    </row>
    <row r="121" spans="1:7" x14ac:dyDescent="0.2">
      <c r="A121" s="475" t="s">
        <v>1622</v>
      </c>
      <c r="B121" s="475" t="s">
        <v>1623</v>
      </c>
      <c r="C121" s="475" t="s">
        <v>1624</v>
      </c>
      <c r="D121" s="475" t="s">
        <v>1484</v>
      </c>
      <c r="E121" s="475" t="s">
        <v>1626</v>
      </c>
      <c r="F121" s="475" t="s">
        <v>1627</v>
      </c>
      <c r="G121" s="475" t="s">
        <v>1628</v>
      </c>
    </row>
    <row r="122" spans="1:7" x14ac:dyDescent="0.2">
      <c r="A122">
        <v>1</v>
      </c>
      <c r="B122" t="s">
        <v>3322</v>
      </c>
      <c r="C122" t="s">
        <v>3323</v>
      </c>
      <c r="D122" t="s">
        <v>3324</v>
      </c>
      <c r="E122" t="s">
        <v>3325</v>
      </c>
      <c r="F122" t="s">
        <v>3326</v>
      </c>
    </row>
    <row r="123" spans="1:7" x14ac:dyDescent="0.2">
      <c r="A123">
        <v>2</v>
      </c>
      <c r="B123" t="s">
        <v>3322</v>
      </c>
      <c r="C123" t="s">
        <v>3327</v>
      </c>
      <c r="D123" t="s">
        <v>3324</v>
      </c>
      <c r="E123" t="s">
        <v>3328</v>
      </c>
      <c r="F123" t="s">
        <v>3329</v>
      </c>
    </row>
    <row r="124" spans="1:7" x14ac:dyDescent="0.2">
      <c r="A124">
        <v>3</v>
      </c>
      <c r="B124" t="s">
        <v>3322</v>
      </c>
      <c r="C124" t="s">
        <v>3330</v>
      </c>
      <c r="D124" t="s">
        <v>3331</v>
      </c>
      <c r="E124" t="s">
        <v>3332</v>
      </c>
      <c r="F124" t="s">
        <v>3333</v>
      </c>
    </row>
    <row r="125" spans="1:7" x14ac:dyDescent="0.2">
      <c r="A125">
        <v>4</v>
      </c>
      <c r="B125" t="s">
        <v>3322</v>
      </c>
      <c r="C125" t="s">
        <v>3334</v>
      </c>
      <c r="D125" t="s">
        <v>3335</v>
      </c>
      <c r="E125" t="s">
        <v>3336</v>
      </c>
      <c r="F125" t="s">
        <v>3337</v>
      </c>
    </row>
    <row r="126" spans="1:7" x14ac:dyDescent="0.2">
      <c r="A126">
        <v>5</v>
      </c>
      <c r="B126" t="s">
        <v>3322</v>
      </c>
      <c r="C126" t="s">
        <v>3338</v>
      </c>
      <c r="D126" t="s">
        <v>3339</v>
      </c>
      <c r="E126" t="s">
        <v>3340</v>
      </c>
      <c r="F126" t="s">
        <v>3341</v>
      </c>
    </row>
    <row r="127" spans="1:7" x14ac:dyDescent="0.2">
      <c r="A127">
        <v>6</v>
      </c>
      <c r="B127" t="s">
        <v>3322</v>
      </c>
      <c r="C127" t="s">
        <v>3342</v>
      </c>
      <c r="D127" t="s">
        <v>3343</v>
      </c>
      <c r="E127" t="s">
        <v>3344</v>
      </c>
      <c r="F127" t="s">
        <v>3345</v>
      </c>
    </row>
    <row r="128" spans="1:7" x14ac:dyDescent="0.2">
      <c r="A128">
        <v>7</v>
      </c>
      <c r="B128" t="s">
        <v>3346</v>
      </c>
      <c r="C128" t="s">
        <v>3347</v>
      </c>
      <c r="D128" t="s">
        <v>3348</v>
      </c>
      <c r="E128" t="s">
        <v>3349</v>
      </c>
      <c r="F128" t="s">
        <v>3350</v>
      </c>
    </row>
    <row r="129" spans="1:6" x14ac:dyDescent="0.2">
      <c r="A129">
        <v>8</v>
      </c>
      <c r="B129" t="s">
        <v>3346</v>
      </c>
      <c r="C129" t="s">
        <v>3351</v>
      </c>
      <c r="D129" t="s">
        <v>3352</v>
      </c>
      <c r="E129" t="s">
        <v>3353</v>
      </c>
      <c r="F129" t="s">
        <v>3354</v>
      </c>
    </row>
    <row r="130" spans="1:6" x14ac:dyDescent="0.2">
      <c r="A130">
        <v>9</v>
      </c>
      <c r="B130" t="s">
        <v>3346</v>
      </c>
      <c r="C130" t="s">
        <v>3355</v>
      </c>
      <c r="D130" t="s">
        <v>3356</v>
      </c>
      <c r="E130" t="s">
        <v>3357</v>
      </c>
      <c r="F130" t="s">
        <v>3358</v>
      </c>
    </row>
    <row r="131" spans="1:6" x14ac:dyDescent="0.2">
      <c r="A131">
        <v>10</v>
      </c>
      <c r="B131" t="s">
        <v>1894</v>
      </c>
      <c r="C131" t="s">
        <v>3359</v>
      </c>
      <c r="D131" t="s">
        <v>1862</v>
      </c>
      <c r="E131" t="s">
        <v>3360</v>
      </c>
      <c r="F131" t="s">
        <v>3361</v>
      </c>
    </row>
    <row r="132" spans="1:6" x14ac:dyDescent="0.2">
      <c r="A132">
        <v>11</v>
      </c>
      <c r="B132" t="s">
        <v>1894</v>
      </c>
      <c r="C132" t="s">
        <v>3362</v>
      </c>
      <c r="D132" t="s">
        <v>3363</v>
      </c>
      <c r="E132" t="s">
        <v>3364</v>
      </c>
      <c r="F132" t="s">
        <v>3365</v>
      </c>
    </row>
    <row r="133" spans="1:6" x14ac:dyDescent="0.2">
      <c r="A133">
        <v>12</v>
      </c>
      <c r="B133" t="s">
        <v>1894</v>
      </c>
      <c r="C133" t="s">
        <v>3366</v>
      </c>
      <c r="D133" t="s">
        <v>3367</v>
      </c>
      <c r="E133" t="s">
        <v>3368</v>
      </c>
      <c r="F133" t="s">
        <v>3369</v>
      </c>
    </row>
    <row r="134" spans="1:6" x14ac:dyDescent="0.2">
      <c r="A134">
        <v>13</v>
      </c>
      <c r="B134" t="s">
        <v>3272</v>
      </c>
      <c r="C134" t="s">
        <v>3370</v>
      </c>
      <c r="D134" t="s">
        <v>3371</v>
      </c>
      <c r="E134" t="s">
        <v>3372</v>
      </c>
      <c r="F134" t="s">
        <v>3373</v>
      </c>
    </row>
    <row r="135" spans="1:6" x14ac:dyDescent="0.2">
      <c r="A135">
        <v>14</v>
      </c>
      <c r="B135" t="s">
        <v>3272</v>
      </c>
      <c r="C135" t="s">
        <v>3374</v>
      </c>
      <c r="D135" t="s">
        <v>3375</v>
      </c>
      <c r="E135" t="s">
        <v>3376</v>
      </c>
      <c r="F135" t="s">
        <v>3377</v>
      </c>
    </row>
    <row r="136" spans="1:6" x14ac:dyDescent="0.2">
      <c r="A136">
        <v>15</v>
      </c>
      <c r="B136" t="s">
        <v>3272</v>
      </c>
      <c r="C136" t="s">
        <v>3378</v>
      </c>
      <c r="D136" t="s">
        <v>3379</v>
      </c>
      <c r="E136" t="s">
        <v>3380</v>
      </c>
      <c r="F136" t="s">
        <v>3381</v>
      </c>
    </row>
    <row r="137" spans="1:6" x14ac:dyDescent="0.2">
      <c r="A137">
        <v>16</v>
      </c>
      <c r="B137" t="s">
        <v>1558</v>
      </c>
      <c r="C137" t="s">
        <v>3382</v>
      </c>
      <c r="D137" t="s">
        <v>3383</v>
      </c>
      <c r="E137" t="s">
        <v>3384</v>
      </c>
      <c r="F137" t="s">
        <v>3385</v>
      </c>
    </row>
    <row r="138" spans="1:6" x14ac:dyDescent="0.2">
      <c r="A138">
        <v>17</v>
      </c>
      <c r="B138" t="s">
        <v>1734</v>
      </c>
      <c r="C138" t="s">
        <v>3386</v>
      </c>
      <c r="D138" t="s">
        <v>3227</v>
      </c>
      <c r="E138" t="s">
        <v>3387</v>
      </c>
      <c r="F138" t="s">
        <v>3388</v>
      </c>
    </row>
    <row r="139" spans="1:6" x14ac:dyDescent="0.2">
      <c r="A139">
        <v>18</v>
      </c>
      <c r="B139" t="s">
        <v>1734</v>
      </c>
      <c r="C139" t="s">
        <v>3389</v>
      </c>
      <c r="D139" t="s">
        <v>3227</v>
      </c>
      <c r="E139" t="s">
        <v>3390</v>
      </c>
      <c r="F139" t="s">
        <v>3391</v>
      </c>
    </row>
    <row r="140" spans="1:6" x14ac:dyDescent="0.2">
      <c r="A140">
        <v>19</v>
      </c>
      <c r="B140" t="s">
        <v>1734</v>
      </c>
      <c r="C140" t="s">
        <v>3392</v>
      </c>
      <c r="D140" t="s">
        <v>3227</v>
      </c>
      <c r="E140" t="s">
        <v>3393</v>
      </c>
      <c r="F140" t="s">
        <v>3394</v>
      </c>
    </row>
    <row r="141" spans="1:6" x14ac:dyDescent="0.2">
      <c r="A141">
        <v>20</v>
      </c>
      <c r="B141" t="s">
        <v>3301</v>
      </c>
      <c r="C141" t="s">
        <v>3395</v>
      </c>
      <c r="D141" t="s">
        <v>3396</v>
      </c>
      <c r="E141" t="s">
        <v>3397</v>
      </c>
      <c r="F141" t="s">
        <v>3398</v>
      </c>
    </row>
    <row r="142" spans="1:6" x14ac:dyDescent="0.2">
      <c r="A142">
        <v>21</v>
      </c>
      <c r="B142" t="s">
        <v>3301</v>
      </c>
      <c r="C142" t="s">
        <v>3399</v>
      </c>
      <c r="D142" t="s">
        <v>3400</v>
      </c>
      <c r="E142" t="s">
        <v>3401</v>
      </c>
      <c r="F142" t="s">
        <v>3402</v>
      </c>
    </row>
    <row r="143" spans="1:6" x14ac:dyDescent="0.2">
      <c r="A143">
        <v>22</v>
      </c>
      <c r="B143" t="s">
        <v>1595</v>
      </c>
      <c r="C143" t="s">
        <v>3403</v>
      </c>
      <c r="D143" t="s">
        <v>3404</v>
      </c>
      <c r="E143" t="s">
        <v>3405</v>
      </c>
      <c r="F143" t="s">
        <v>3406</v>
      </c>
    </row>
    <row r="144" spans="1:6" x14ac:dyDescent="0.2">
      <c r="A144">
        <v>23</v>
      </c>
      <c r="B144" t="s">
        <v>1595</v>
      </c>
      <c r="C144" t="s">
        <v>3407</v>
      </c>
      <c r="D144" t="s">
        <v>3408</v>
      </c>
      <c r="E144" t="s">
        <v>3409</v>
      </c>
      <c r="F144" t="s">
        <v>3410</v>
      </c>
    </row>
    <row r="145" spans="1:6" x14ac:dyDescent="0.2">
      <c r="A145">
        <v>24</v>
      </c>
      <c r="B145" t="s">
        <v>2410</v>
      </c>
      <c r="C145" t="s">
        <v>3411</v>
      </c>
      <c r="D145" t="s">
        <v>1324</v>
      </c>
      <c r="E145" t="s">
        <v>3412</v>
      </c>
      <c r="F145" t="s">
        <v>3413</v>
      </c>
    </row>
    <row r="147" spans="1:6" ht="15" x14ac:dyDescent="0.25">
      <c r="A147" s="751" t="s">
        <v>1532</v>
      </c>
      <c r="B147" s="752"/>
      <c r="C147" s="752"/>
      <c r="D147" s="752"/>
      <c r="E147" s="752"/>
      <c r="F147" s="752"/>
    </row>
    <row r="148" spans="1:6" x14ac:dyDescent="0.2">
      <c r="A148" t="s">
        <v>3414</v>
      </c>
    </row>
    <row r="149" spans="1:6" x14ac:dyDescent="0.2">
      <c r="A149" t="s">
        <v>3415</v>
      </c>
    </row>
    <row r="150" spans="1:6" x14ac:dyDescent="0.2">
      <c r="A150" t="s">
        <v>3416</v>
      </c>
    </row>
    <row r="151" spans="1:6" x14ac:dyDescent="0.2">
      <c r="A151" t="s">
        <v>3417</v>
      </c>
    </row>
    <row r="152" spans="1:6" x14ac:dyDescent="0.2">
      <c r="A152" t="s">
        <v>3418</v>
      </c>
    </row>
    <row r="153" spans="1:6" x14ac:dyDescent="0.2">
      <c r="A153" t="s">
        <v>3419</v>
      </c>
    </row>
    <row r="154" spans="1:6" x14ac:dyDescent="0.2">
      <c r="A154" t="s">
        <v>3420</v>
      </c>
    </row>
    <row r="155" spans="1:6" x14ac:dyDescent="0.2">
      <c r="A155" t="s">
        <v>3421</v>
      </c>
    </row>
    <row r="156" spans="1:6" x14ac:dyDescent="0.2">
      <c r="A156" t="s">
        <v>3422</v>
      </c>
    </row>
    <row r="157" spans="1:6" x14ac:dyDescent="0.2">
      <c r="A157" t="s">
        <v>3423</v>
      </c>
    </row>
    <row r="158" spans="1:6" x14ac:dyDescent="0.2">
      <c r="A158" s="756" t="s">
        <v>3428</v>
      </c>
    </row>
    <row r="161" spans="1:1" ht="18" x14ac:dyDescent="0.25">
      <c r="A161" s="833" t="s">
        <v>6269</v>
      </c>
    </row>
    <row r="162" spans="1:1" x14ac:dyDescent="0.2">
      <c r="A162" s="734" t="s">
        <v>6270</v>
      </c>
    </row>
    <row r="164" spans="1:1" x14ac:dyDescent="0.2">
      <c r="A164" s="609" t="s">
        <v>6271</v>
      </c>
    </row>
    <row r="165" spans="1:1" x14ac:dyDescent="0.2">
      <c r="A165" t="s">
        <v>6272</v>
      </c>
    </row>
    <row r="166" spans="1:1" x14ac:dyDescent="0.2">
      <c r="A166" t="s">
        <v>6273</v>
      </c>
    </row>
    <row r="167" spans="1:1" x14ac:dyDescent="0.2">
      <c r="A167" t="s">
        <v>6274</v>
      </c>
    </row>
    <row r="168" spans="1:1" x14ac:dyDescent="0.2">
      <c r="A168" t="s">
        <v>6275</v>
      </c>
    </row>
    <row r="169" spans="1:1" x14ac:dyDescent="0.2">
      <c r="A169" t="s">
        <v>6276</v>
      </c>
    </row>
    <row r="170" spans="1:1" x14ac:dyDescent="0.2">
      <c r="A170" t="s">
        <v>6277</v>
      </c>
    </row>
    <row r="172" spans="1:1" x14ac:dyDescent="0.2">
      <c r="A172" s="609" t="s">
        <v>6278</v>
      </c>
    </row>
    <row r="173" spans="1:1" x14ac:dyDescent="0.2">
      <c r="A173" t="s">
        <v>6279</v>
      </c>
    </row>
    <row r="174" spans="1:1" x14ac:dyDescent="0.2">
      <c r="A174" t="s">
        <v>6280</v>
      </c>
    </row>
    <row r="175" spans="1:1" x14ac:dyDescent="0.2">
      <c r="A175" t="s">
        <v>6281</v>
      </c>
    </row>
    <row r="176" spans="1:1" x14ac:dyDescent="0.2">
      <c r="A176" t="s">
        <v>6282</v>
      </c>
    </row>
    <row r="177" spans="1:1" x14ac:dyDescent="0.2">
      <c r="A177" t="s">
        <v>6283</v>
      </c>
    </row>
    <row r="178" spans="1:1" x14ac:dyDescent="0.2">
      <c r="A178" t="s">
        <v>6284</v>
      </c>
    </row>
    <row r="179" spans="1:1" x14ac:dyDescent="0.2">
      <c r="A179" t="s">
        <v>6285</v>
      </c>
    </row>
    <row r="180" spans="1:1" x14ac:dyDescent="0.2">
      <c r="A180" t="s">
        <v>6286</v>
      </c>
    </row>
    <row r="182" spans="1:1" x14ac:dyDescent="0.2">
      <c r="A182" s="609" t="s">
        <v>6287</v>
      </c>
    </row>
    <row r="183" spans="1:1" x14ac:dyDescent="0.2">
      <c r="A183" t="s">
        <v>6288</v>
      </c>
    </row>
    <row r="184" spans="1:1" x14ac:dyDescent="0.2">
      <c r="A184" t="s">
        <v>6289</v>
      </c>
    </row>
    <row r="185" spans="1:1" x14ac:dyDescent="0.2">
      <c r="A185" t="s">
        <v>6290</v>
      </c>
    </row>
    <row r="186" spans="1:1" x14ac:dyDescent="0.2">
      <c r="A186" t="s">
        <v>6291</v>
      </c>
    </row>
    <row r="187" spans="1:1" x14ac:dyDescent="0.2">
      <c r="A187" t="s">
        <v>6292</v>
      </c>
    </row>
    <row r="188" spans="1:1" x14ac:dyDescent="0.2">
      <c r="A188" t="s">
        <v>6293</v>
      </c>
    </row>
    <row r="190" spans="1:1" x14ac:dyDescent="0.2">
      <c r="A190" s="609" t="s">
        <v>6294</v>
      </c>
    </row>
    <row r="191" spans="1:1" x14ac:dyDescent="0.2">
      <c r="A191" t="s">
        <v>6295</v>
      </c>
    </row>
    <row r="192" spans="1:1" x14ac:dyDescent="0.2">
      <c r="A192" t="s">
        <v>6296</v>
      </c>
    </row>
    <row r="193" spans="1:1" x14ac:dyDescent="0.2">
      <c r="A193" t="s">
        <v>6297</v>
      </c>
    </row>
    <row r="194" spans="1:1" x14ac:dyDescent="0.2">
      <c r="A194" t="s">
        <v>6298</v>
      </c>
    </row>
    <row r="195" spans="1:1" x14ac:dyDescent="0.2">
      <c r="A195" t="s">
        <v>6299</v>
      </c>
    </row>
    <row r="196" spans="1:1" x14ac:dyDescent="0.2">
      <c r="A196" t="s">
        <v>6300</v>
      </c>
    </row>
    <row r="197" spans="1:1" x14ac:dyDescent="0.2">
      <c r="A197" t="s">
        <v>6301</v>
      </c>
    </row>
    <row r="199" spans="1:1" x14ac:dyDescent="0.2">
      <c r="A199" s="609" t="s">
        <v>6302</v>
      </c>
    </row>
    <row r="200" spans="1:1" x14ac:dyDescent="0.2">
      <c r="A200" t="s">
        <v>6303</v>
      </c>
    </row>
    <row r="201" spans="1:1" x14ac:dyDescent="0.2">
      <c r="A201" t="s">
        <v>6304</v>
      </c>
    </row>
    <row r="202" spans="1:1" x14ac:dyDescent="0.2">
      <c r="A202" t="s">
        <v>6305</v>
      </c>
    </row>
    <row r="204" spans="1:1" x14ac:dyDescent="0.2">
      <c r="A204" s="609" t="s">
        <v>6306</v>
      </c>
    </row>
    <row r="205" spans="1:1" x14ac:dyDescent="0.2">
      <c r="A205" t="s">
        <v>6307</v>
      </c>
    </row>
    <row r="206" spans="1:1" x14ac:dyDescent="0.2">
      <c r="A206" t="s">
        <v>6308</v>
      </c>
    </row>
    <row r="207" spans="1:1" x14ac:dyDescent="0.2">
      <c r="A207" t="s">
        <v>6309</v>
      </c>
    </row>
    <row r="208" spans="1:1" x14ac:dyDescent="0.2">
      <c r="A208" t="s">
        <v>6310</v>
      </c>
    </row>
    <row r="210" spans="1:1" x14ac:dyDescent="0.2">
      <c r="A210" s="609" t="s">
        <v>6311</v>
      </c>
    </row>
    <row r="211" spans="1:1" x14ac:dyDescent="0.2">
      <c r="A211" t="s">
        <v>6312</v>
      </c>
    </row>
    <row r="212" spans="1:1" x14ac:dyDescent="0.2">
      <c r="A212" t="s">
        <v>6313</v>
      </c>
    </row>
    <row r="213" spans="1:1" x14ac:dyDescent="0.2">
      <c r="A213" t="s">
        <v>6314</v>
      </c>
    </row>
    <row r="214" spans="1:1" x14ac:dyDescent="0.2">
      <c r="A214" t="s">
        <v>6315</v>
      </c>
    </row>
    <row r="215" spans="1:1" x14ac:dyDescent="0.2">
      <c r="A215" t="s">
        <v>6316</v>
      </c>
    </row>
    <row r="216" spans="1:1" x14ac:dyDescent="0.2">
      <c r="A216" t="s">
        <v>6317</v>
      </c>
    </row>
    <row r="218" spans="1:1" x14ac:dyDescent="0.2">
      <c r="A218" s="609" t="s">
        <v>6318</v>
      </c>
    </row>
    <row r="219" spans="1:1" x14ac:dyDescent="0.2">
      <c r="A219" t="s">
        <v>6319</v>
      </c>
    </row>
    <row r="220" spans="1:1" x14ac:dyDescent="0.2">
      <c r="A220" t="s">
        <v>6320</v>
      </c>
    </row>
    <row r="221" spans="1:1" x14ac:dyDescent="0.2">
      <c r="A221" t="s">
        <v>6321</v>
      </c>
    </row>
    <row r="224" spans="1:1" ht="18" x14ac:dyDescent="0.25">
      <c r="A224" s="838" t="s">
        <v>7130</v>
      </c>
    </row>
    <row r="225" spans="1:1" x14ac:dyDescent="0.2">
      <c r="A225" s="734" t="s">
        <v>7131</v>
      </c>
    </row>
    <row r="227" spans="1:1" x14ac:dyDescent="0.2">
      <c r="A227" s="839" t="s">
        <v>7132</v>
      </c>
    </row>
    <row r="228" spans="1:1" x14ac:dyDescent="0.2">
      <c r="A228" t="s">
        <v>7133</v>
      </c>
    </row>
    <row r="229" spans="1:1" x14ac:dyDescent="0.2">
      <c r="A229" t="s">
        <v>7134</v>
      </c>
    </row>
    <row r="230" spans="1:1" x14ac:dyDescent="0.2">
      <c r="A230" t="s">
        <v>7135</v>
      </c>
    </row>
    <row r="231" spans="1:1" x14ac:dyDescent="0.2">
      <c r="A231" t="s">
        <v>7136</v>
      </c>
    </row>
    <row r="232" spans="1:1" x14ac:dyDescent="0.2">
      <c r="A232" t="s">
        <v>7137</v>
      </c>
    </row>
    <row r="233" spans="1:1" x14ac:dyDescent="0.2">
      <c r="A233" t="s">
        <v>7138</v>
      </c>
    </row>
    <row r="234" spans="1:1" x14ac:dyDescent="0.2">
      <c r="A234" t="s">
        <v>7139</v>
      </c>
    </row>
  </sheetData>
  <pageMargins left="0.7" right="0.7" top="0.75" bottom="0.75" header="0.3" footer="0.3"/>
  <legacy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7656E-7324-4BFB-B912-D4FA7EB76E0D}">
  <dimension ref="A1:J167"/>
  <sheetViews>
    <sheetView workbookViewId="0">
      <pane ySplit="3" topLeftCell="A4" activePane="bottomLeft" state="frozen"/>
      <selection pane="bottomLeft"/>
    </sheetView>
  </sheetViews>
  <sheetFormatPr defaultRowHeight="12.75" x14ac:dyDescent="0.2"/>
  <cols>
    <col min="1" max="1" width="137.140625" customWidth="1"/>
    <col min="2" max="2" width="22.85546875" customWidth="1"/>
    <col min="3" max="3" width="49.5703125" customWidth="1"/>
    <col min="4" max="4" width="17.140625" customWidth="1"/>
    <col min="5" max="5" width="38.140625" customWidth="1"/>
    <col min="6" max="6" width="19" customWidth="1"/>
    <col min="7" max="7" width="38.140625" customWidth="1"/>
    <col min="8" max="9" width="15.28515625" customWidth="1"/>
    <col min="10" max="10" width="13.28515625" customWidth="1"/>
  </cols>
  <sheetData>
    <row r="1" spans="1:5" ht="18" x14ac:dyDescent="0.25">
      <c r="A1" s="470" t="s">
        <v>3429</v>
      </c>
    </row>
    <row r="2" spans="1:5" x14ac:dyDescent="0.2">
      <c r="A2" s="734" t="s">
        <v>3430</v>
      </c>
    </row>
    <row r="4" spans="1:5" ht="15" x14ac:dyDescent="0.25">
      <c r="A4" s="735" t="s">
        <v>1443</v>
      </c>
      <c r="B4" s="736"/>
      <c r="C4" s="736"/>
      <c r="D4" s="736"/>
    </row>
    <row r="5" spans="1:5" x14ac:dyDescent="0.2">
      <c r="A5" s="472" t="s">
        <v>3431</v>
      </c>
      <c r="B5" s="475" t="s">
        <v>3432</v>
      </c>
      <c r="C5" s="475" t="s">
        <v>3433</v>
      </c>
      <c r="D5" s="475" t="s">
        <v>3434</v>
      </c>
      <c r="E5" s="757" t="s">
        <v>3440</v>
      </c>
    </row>
    <row r="6" spans="1:5" x14ac:dyDescent="0.2">
      <c r="A6" t="s">
        <v>3435</v>
      </c>
      <c r="B6" s="564">
        <v>6</v>
      </c>
      <c r="C6" s="564">
        <v>10</v>
      </c>
      <c r="D6" s="564">
        <v>14</v>
      </c>
    </row>
    <row r="7" spans="1:5" x14ac:dyDescent="0.2">
      <c r="A7" t="s">
        <v>3436</v>
      </c>
      <c r="B7" s="565">
        <v>10</v>
      </c>
      <c r="C7" s="565">
        <v>12.6</v>
      </c>
      <c r="D7" s="565">
        <v>17.7</v>
      </c>
      <c r="E7" s="734" t="s">
        <v>3199</v>
      </c>
    </row>
    <row r="8" spans="1:5" x14ac:dyDescent="0.2">
      <c r="A8" t="s">
        <v>3186</v>
      </c>
      <c r="B8" s="565">
        <v>5</v>
      </c>
      <c r="C8" s="565">
        <v>6.5</v>
      </c>
      <c r="D8" s="565">
        <v>8</v>
      </c>
    </row>
    <row r="9" spans="1:5" x14ac:dyDescent="0.2">
      <c r="A9" t="s">
        <v>3188</v>
      </c>
      <c r="B9" s="565">
        <v>24</v>
      </c>
      <c r="C9" s="565">
        <v>30</v>
      </c>
      <c r="D9" s="565">
        <v>36</v>
      </c>
    </row>
    <row r="10" spans="1:5" x14ac:dyDescent="0.2">
      <c r="A10" t="s">
        <v>3437</v>
      </c>
      <c r="B10" s="565">
        <v>7</v>
      </c>
      <c r="C10" s="565">
        <v>6.5</v>
      </c>
      <c r="D10" s="565">
        <v>6</v>
      </c>
    </row>
    <row r="11" spans="1:5" x14ac:dyDescent="0.2">
      <c r="A11" t="s">
        <v>3438</v>
      </c>
      <c r="B11" s="565">
        <v>18</v>
      </c>
      <c r="C11" s="565">
        <v>22</v>
      </c>
      <c r="D11" s="565">
        <v>28</v>
      </c>
    </row>
    <row r="12" spans="1:5" x14ac:dyDescent="0.2">
      <c r="A12" t="s">
        <v>1936</v>
      </c>
      <c r="B12" s="565">
        <v>6</v>
      </c>
      <c r="C12" s="565">
        <v>6</v>
      </c>
      <c r="D12" s="565">
        <v>6</v>
      </c>
    </row>
    <row r="13" spans="1:5" x14ac:dyDescent="0.2">
      <c r="A13" t="s">
        <v>1938</v>
      </c>
      <c r="B13" s="565">
        <v>10</v>
      </c>
      <c r="C13" s="565">
        <v>12</v>
      </c>
      <c r="D13" s="565">
        <v>14</v>
      </c>
    </row>
    <row r="14" spans="1:5" x14ac:dyDescent="0.2">
      <c r="A14" t="s">
        <v>1940</v>
      </c>
      <c r="B14" s="701">
        <v>4.1549999999999997E-2</v>
      </c>
    </row>
    <row r="15" spans="1:5" x14ac:dyDescent="0.2">
      <c r="A15" t="s">
        <v>3439</v>
      </c>
      <c r="B15" s="679">
        <v>44600</v>
      </c>
    </row>
    <row r="16" spans="1:5" x14ac:dyDescent="0.2">
      <c r="A16" t="s">
        <v>3196</v>
      </c>
      <c r="B16" s="564" t="s">
        <v>3197</v>
      </c>
    </row>
    <row r="17" spans="1:8" x14ac:dyDescent="0.2">
      <c r="A17" t="s">
        <v>3198</v>
      </c>
      <c r="B17" s="564" t="s">
        <v>398</v>
      </c>
    </row>
    <row r="19" spans="1:8" ht="15" x14ac:dyDescent="0.25">
      <c r="A19" s="738" t="s">
        <v>3441</v>
      </c>
      <c r="B19" s="739"/>
      <c r="C19" s="739"/>
      <c r="D19" s="739"/>
      <c r="E19" s="739"/>
      <c r="F19" s="739"/>
      <c r="G19" s="739"/>
      <c r="H19" s="739"/>
    </row>
    <row r="20" spans="1:8" x14ac:dyDescent="0.2">
      <c r="A20" t="s">
        <v>2676</v>
      </c>
      <c r="B20" s="564">
        <v>10</v>
      </c>
      <c r="C20" t="s">
        <v>3442</v>
      </c>
    </row>
    <row r="21" spans="1:8" x14ac:dyDescent="0.2">
      <c r="A21" t="s">
        <v>2677</v>
      </c>
      <c r="B21" s="596">
        <v>0.625</v>
      </c>
      <c r="C21" t="s">
        <v>3443</v>
      </c>
    </row>
    <row r="22" spans="1:8" x14ac:dyDescent="0.2">
      <c r="A22" t="s">
        <v>2678</v>
      </c>
      <c r="B22" s="481">
        <f>180/B20</f>
        <v>18</v>
      </c>
    </row>
    <row r="23" spans="1:8" x14ac:dyDescent="0.2">
      <c r="A23" t="s">
        <v>3444</v>
      </c>
    </row>
    <row r="24" spans="1:8" x14ac:dyDescent="0.2">
      <c r="A24" t="s">
        <v>3202</v>
      </c>
      <c r="B24" s="741">
        <f>C8</f>
        <v>6.5</v>
      </c>
      <c r="C24" t="s">
        <v>3445</v>
      </c>
    </row>
    <row r="25" spans="1:8" x14ac:dyDescent="0.2">
      <c r="A25" t="s">
        <v>3204</v>
      </c>
      <c r="B25" s="540">
        <f>ROUNDUP(B24/B21,0)</f>
        <v>11</v>
      </c>
    </row>
    <row r="26" spans="1:8" x14ac:dyDescent="0.2">
      <c r="A26" t="s">
        <v>2684</v>
      </c>
      <c r="B26" s="540">
        <f>B25*B20</f>
        <v>110</v>
      </c>
    </row>
    <row r="28" spans="1:8" x14ac:dyDescent="0.2">
      <c r="A28" s="472" t="s">
        <v>3446</v>
      </c>
    </row>
    <row r="29" spans="1:8" x14ac:dyDescent="0.2">
      <c r="A29" s="475" t="s">
        <v>2693</v>
      </c>
      <c r="B29" s="475" t="s">
        <v>2694</v>
      </c>
      <c r="C29" s="475" t="s">
        <v>2695</v>
      </c>
      <c r="D29" s="475" t="s">
        <v>2696</v>
      </c>
      <c r="E29" s="475" t="s">
        <v>2697</v>
      </c>
      <c r="F29" s="475" t="s">
        <v>2699</v>
      </c>
    </row>
    <row r="30" spans="1:8" x14ac:dyDescent="0.2">
      <c r="A30">
        <v>1</v>
      </c>
      <c r="B30" s="482">
        <f>$B$21</f>
        <v>0.625</v>
      </c>
      <c r="C30" s="481">
        <f>E30*PI()/$B$20+1</f>
        <v>2.4615473017868839</v>
      </c>
      <c r="D30" s="482">
        <f>PI()*E30/$B$20</f>
        <v>1.4615473017868836</v>
      </c>
      <c r="E30" s="481">
        <f>$C$7*SQRT(1-((A30-0.5)/$B$25-1)^2)*0.4+$C$7*0.25</f>
        <v>4.6522495528400931</v>
      </c>
      <c r="F30" s="733" t="str">
        <f>IF(A30&lt;=2,"Top (neck)",IF(A30&lt;=$B$25*0.6,"Upper bowl",IF(A30&lt;=$B$25*0.85,"Lower bowl","Rim")))</f>
        <v>Top (neck)</v>
      </c>
    </row>
    <row r="31" spans="1:8" x14ac:dyDescent="0.2">
      <c r="A31">
        <v>2</v>
      </c>
      <c r="B31" s="482">
        <f t="shared" ref="B31:B40" si="0">$B$21</f>
        <v>0.625</v>
      </c>
      <c r="C31" s="481">
        <f t="shared" ref="C31:C40" si="1">E31*PI()/$B$20+1</f>
        <v>2.7877990403582502</v>
      </c>
      <c r="D31" s="482">
        <f t="shared" ref="D31:D40" si="2">PI()*E31/$B$20</f>
        <v>1.7877990403582502</v>
      </c>
      <c r="E31" s="481">
        <f t="shared" ref="E31:E40" si="3">$C$7*SQRT(1-((A31-0.5)/$B$25-1)^2)*0.4+$C$7*0.25</f>
        <v>5.6907410905592481</v>
      </c>
      <c r="F31" s="733" t="str">
        <f t="shared" ref="F31:F40" si="4">IF(A31&lt;=2,"Top (neck)",IF(A31&lt;=$B$25*0.6,"Upper bowl",IF(A31&lt;=$B$25*0.85,"Lower bowl","Rim")))</f>
        <v>Top (neck)</v>
      </c>
    </row>
    <row r="32" spans="1:8" x14ac:dyDescent="0.2">
      <c r="A32">
        <v>3</v>
      </c>
      <c r="B32" s="482">
        <f t="shared" si="0"/>
        <v>0.625</v>
      </c>
      <c r="C32" s="481">
        <f t="shared" si="1"/>
        <v>2.9946224487431636</v>
      </c>
      <c r="D32" s="482">
        <f t="shared" si="2"/>
        <v>1.9946224487431636</v>
      </c>
      <c r="E32" s="481">
        <f t="shared" si="3"/>
        <v>6.3490804463907029</v>
      </c>
      <c r="F32" s="733" t="str">
        <f t="shared" si="4"/>
        <v>Upper bowl</v>
      </c>
    </row>
    <row r="33" spans="1:10" x14ac:dyDescent="0.2">
      <c r="A33">
        <v>4</v>
      </c>
      <c r="B33" s="482">
        <f t="shared" si="0"/>
        <v>0.625</v>
      </c>
      <c r="C33" s="481">
        <f t="shared" si="1"/>
        <v>3.1478658248585685</v>
      </c>
      <c r="D33" s="482">
        <f t="shared" si="2"/>
        <v>2.1478658248585685</v>
      </c>
      <c r="E33" s="481">
        <f t="shared" si="3"/>
        <v>6.8368692624878467</v>
      </c>
      <c r="F33" s="733" t="str">
        <f t="shared" si="4"/>
        <v>Upper bowl</v>
      </c>
    </row>
    <row r="34" spans="1:10" x14ac:dyDescent="0.2">
      <c r="A34">
        <v>5</v>
      </c>
      <c r="B34" s="482">
        <f t="shared" si="0"/>
        <v>0.625</v>
      </c>
      <c r="C34" s="481">
        <f t="shared" si="1"/>
        <v>3.2669607827158265</v>
      </c>
      <c r="D34" s="482">
        <f t="shared" si="2"/>
        <v>2.2669607827158265</v>
      </c>
      <c r="E34" s="481">
        <f t="shared" si="3"/>
        <v>7.2159602872939175</v>
      </c>
      <c r="F34" s="733" t="str">
        <f t="shared" si="4"/>
        <v>Upper bowl</v>
      </c>
    </row>
    <row r="35" spans="1:10" x14ac:dyDescent="0.2">
      <c r="A35">
        <v>6</v>
      </c>
      <c r="B35" s="482">
        <f t="shared" si="0"/>
        <v>0.625</v>
      </c>
      <c r="C35" s="481">
        <f t="shared" si="1"/>
        <v>3.3608340052418533</v>
      </c>
      <c r="D35" s="482">
        <f t="shared" si="2"/>
        <v>2.3608340052418533</v>
      </c>
      <c r="E35" s="481">
        <f t="shared" si="3"/>
        <v>7.5147680350735708</v>
      </c>
      <c r="F35" s="733" t="str">
        <f t="shared" si="4"/>
        <v>Upper bowl</v>
      </c>
    </row>
    <row r="36" spans="1:10" x14ac:dyDescent="0.2">
      <c r="A36">
        <v>7</v>
      </c>
      <c r="B36" s="482">
        <f t="shared" si="0"/>
        <v>0.625</v>
      </c>
      <c r="C36" s="481">
        <f t="shared" si="1"/>
        <v>3.4344100641168938</v>
      </c>
      <c r="D36" s="482">
        <f t="shared" si="2"/>
        <v>2.4344100641168938</v>
      </c>
      <c r="E36" s="481">
        <f t="shared" si="3"/>
        <v>7.7489679043372295</v>
      </c>
      <c r="F36" s="733" t="str">
        <f t="shared" si="4"/>
        <v>Lower bowl</v>
      </c>
    </row>
    <row r="37" spans="1:10" x14ac:dyDescent="0.2">
      <c r="A37">
        <v>8</v>
      </c>
      <c r="B37" s="482">
        <f t="shared" si="0"/>
        <v>0.625</v>
      </c>
      <c r="C37" s="481">
        <f t="shared" si="1"/>
        <v>3.4906765643428779</v>
      </c>
      <c r="D37" s="482">
        <f t="shared" si="2"/>
        <v>2.4906765643428779</v>
      </c>
      <c r="E37" s="481">
        <f t="shared" si="3"/>
        <v>7.9280697371661635</v>
      </c>
      <c r="F37" s="733" t="str">
        <f t="shared" si="4"/>
        <v>Lower bowl</v>
      </c>
    </row>
    <row r="38" spans="1:10" x14ac:dyDescent="0.2">
      <c r="A38">
        <v>9</v>
      </c>
      <c r="B38" s="482">
        <f t="shared" si="0"/>
        <v>0.625</v>
      </c>
      <c r="C38" s="481">
        <f t="shared" si="1"/>
        <v>3.5315296013316146</v>
      </c>
      <c r="D38" s="482">
        <f t="shared" si="2"/>
        <v>2.5315296013316146</v>
      </c>
      <c r="E38" s="481">
        <f t="shared" si="3"/>
        <v>8.0581089927076324</v>
      </c>
      <c r="F38" s="733" t="str">
        <f t="shared" si="4"/>
        <v>Lower bowl</v>
      </c>
    </row>
    <row r="39" spans="1:10" x14ac:dyDescent="0.2">
      <c r="A39">
        <v>10</v>
      </c>
      <c r="B39" s="482">
        <f t="shared" si="0"/>
        <v>0.625</v>
      </c>
      <c r="C39" s="481">
        <f t="shared" si="1"/>
        <v>3.5581739561032655</v>
      </c>
      <c r="D39" s="482">
        <f t="shared" si="2"/>
        <v>2.5581739561032655</v>
      </c>
      <c r="E39" s="481">
        <f t="shared" si="3"/>
        <v>8.1429206080556806</v>
      </c>
      <c r="F39" s="733" t="str">
        <f t="shared" si="4"/>
        <v>Rim</v>
      </c>
    </row>
    <row r="40" spans="1:10" x14ac:dyDescent="0.2">
      <c r="A40">
        <v>11</v>
      </c>
      <c r="B40" s="482">
        <f t="shared" si="0"/>
        <v>0.625</v>
      </c>
      <c r="C40" s="481">
        <f t="shared" si="1"/>
        <v>3.5713278322610904</v>
      </c>
      <c r="D40" s="482">
        <f t="shared" si="2"/>
        <v>2.5713278322610904</v>
      </c>
      <c r="E40" s="481">
        <f t="shared" si="3"/>
        <v>8.1847906962824091</v>
      </c>
      <c r="F40" s="733" t="str">
        <f t="shared" si="4"/>
        <v>Rim</v>
      </c>
    </row>
    <row r="41" spans="1:10" x14ac:dyDescent="0.2">
      <c r="A41" s="472" t="s">
        <v>1955</v>
      </c>
      <c r="F41" s="758" t="str">
        <f>B25&amp;" rings × "&amp;B20&amp;" seg = "&amp;B26&amp;" pcs"</f>
        <v>11 rings × 10 seg = 110 pcs</v>
      </c>
    </row>
    <row r="43" spans="1:10" ht="15" x14ac:dyDescent="0.25">
      <c r="A43" s="743" t="s">
        <v>3447</v>
      </c>
      <c r="B43" s="744"/>
      <c r="C43" s="744"/>
      <c r="D43" s="744"/>
      <c r="E43" s="744"/>
      <c r="F43" s="744"/>
      <c r="G43" s="744"/>
      <c r="H43" s="744"/>
      <c r="I43" s="744"/>
      <c r="J43" s="744"/>
    </row>
    <row r="44" spans="1:10" x14ac:dyDescent="0.2">
      <c r="A44" s="734" t="s">
        <v>3448</v>
      </c>
    </row>
    <row r="46" spans="1:10" x14ac:dyDescent="0.2">
      <c r="A46" s="484" t="s">
        <v>3449</v>
      </c>
      <c r="B46" s="479"/>
      <c r="C46" s="479"/>
      <c r="D46" s="479"/>
      <c r="E46" s="479"/>
      <c r="F46" s="479"/>
      <c r="G46" s="479"/>
      <c r="H46" s="479"/>
      <c r="I46" s="479"/>
      <c r="J46" s="479"/>
    </row>
    <row r="47" spans="1:10" x14ac:dyDescent="0.2">
      <c r="A47" s="475" t="s">
        <v>610</v>
      </c>
      <c r="B47" s="475" t="s">
        <v>785</v>
      </c>
      <c r="C47" s="475" t="s">
        <v>1272</v>
      </c>
      <c r="D47" s="475" t="s">
        <v>1368</v>
      </c>
      <c r="E47" s="475" t="s">
        <v>1946</v>
      </c>
      <c r="F47" s="475" t="s">
        <v>1948</v>
      </c>
      <c r="G47" s="475" t="s">
        <v>1947</v>
      </c>
      <c r="H47" s="475" t="s">
        <v>1949</v>
      </c>
      <c r="I47" s="475" t="s">
        <v>3450</v>
      </c>
      <c r="J47" s="475" t="s">
        <v>3451</v>
      </c>
    </row>
    <row r="48" spans="1:10" x14ac:dyDescent="0.2">
      <c r="A48">
        <v>1</v>
      </c>
      <c r="B48" t="s">
        <v>34</v>
      </c>
      <c r="C48">
        <v>74</v>
      </c>
      <c r="D48" s="481">
        <f>440*2^((C48-69)/12)</f>
        <v>587.32953583481515</v>
      </c>
      <c r="E48" s="565">
        <v>7</v>
      </c>
      <c r="F48" s="481">
        <f>$B$12+(A48-1)*($B$13-$B$12)/($B$6-1)</f>
        <v>6</v>
      </c>
      <c r="G48" s="648">
        <f>2*SQRT(F48*386.4/($B$14*PI()*4*E48^2*D48^2))</f>
        <v>3.2415584151216544E-2</v>
      </c>
      <c r="H48" s="702">
        <f>$B$14*4*E48^2*D48^2/($B$15*386.4)</f>
        <v>0.16301171093887171</v>
      </c>
      <c r="I48" s="469">
        <f>G48*25.4</f>
        <v>0.82335583744090013</v>
      </c>
      <c r="J48" s="330" t="str">
        <f>IF(H48&gt;0.8,"⚠️ High","OK")</f>
        <v>OK</v>
      </c>
    </row>
    <row r="49" spans="1:10" x14ac:dyDescent="0.2">
      <c r="A49">
        <v>2</v>
      </c>
      <c r="B49" t="s">
        <v>32</v>
      </c>
      <c r="C49">
        <v>72</v>
      </c>
      <c r="D49" s="481">
        <f t="shared" ref="D49:D53" si="5">440*2^((C49-69)/12)</f>
        <v>523.25113060119725</v>
      </c>
      <c r="E49" s="565">
        <v>8.5</v>
      </c>
      <c r="F49" s="481">
        <f t="shared" ref="F49:F53" si="6">$B$12+(A49-1)*($B$13-$B$12)/($B$6-1)</f>
        <v>6.8</v>
      </c>
      <c r="G49" s="648">
        <f t="shared" ref="G49:G53" si="7">2*SQRT(F49*386.4/($B$14*PI()*4*E49^2*D49^2))</f>
        <v>3.1899469724921616E-2</v>
      </c>
      <c r="H49" s="702">
        <f t="shared" ref="H49:H53" si="8">$B$14*4*E49^2*D49^2/($B$15*386.4)</f>
        <v>0.19077314758303004</v>
      </c>
      <c r="I49" s="469">
        <f t="shared" ref="I49:I53" si="9">G49*25.4</f>
        <v>0.81024653101300903</v>
      </c>
      <c r="J49" s="330" t="str">
        <f t="shared" ref="J49:J53" si="10">IF(H49&gt;0.8,"⚠️ High","OK")</f>
        <v>OK</v>
      </c>
    </row>
    <row r="50" spans="1:10" x14ac:dyDescent="0.2">
      <c r="A50">
        <v>3</v>
      </c>
      <c r="B50" t="s">
        <v>29</v>
      </c>
      <c r="C50">
        <v>69</v>
      </c>
      <c r="D50" s="481">
        <f t="shared" si="5"/>
        <v>440</v>
      </c>
      <c r="E50" s="565">
        <v>10</v>
      </c>
      <c r="F50" s="481">
        <f t="shared" si="6"/>
        <v>7.6</v>
      </c>
      <c r="G50" s="648">
        <f t="shared" si="7"/>
        <v>3.4088840402587715E-2</v>
      </c>
      <c r="H50" s="702">
        <f t="shared" si="8"/>
        <v>0.18670863159067486</v>
      </c>
      <c r="I50" s="469">
        <f t="shared" si="9"/>
        <v>0.86585654622572794</v>
      </c>
      <c r="J50" s="330" t="str">
        <f t="shared" si="10"/>
        <v>OK</v>
      </c>
    </row>
    <row r="51" spans="1:10" x14ac:dyDescent="0.2">
      <c r="A51">
        <v>4</v>
      </c>
      <c r="B51" t="s">
        <v>27</v>
      </c>
      <c r="C51">
        <v>67</v>
      </c>
      <c r="D51" s="481">
        <f t="shared" si="5"/>
        <v>391.99543598174927</v>
      </c>
      <c r="E51" s="565">
        <v>12</v>
      </c>
      <c r="F51" s="481">
        <f t="shared" si="6"/>
        <v>8.4</v>
      </c>
      <c r="G51" s="648">
        <f t="shared" si="7"/>
        <v>3.3522430179843805E-2</v>
      </c>
      <c r="H51" s="702">
        <f t="shared" si="8"/>
        <v>0.21339466430297777</v>
      </c>
      <c r="I51" s="469">
        <f t="shared" si="9"/>
        <v>0.85146972656803266</v>
      </c>
      <c r="J51" s="330" t="str">
        <f t="shared" si="10"/>
        <v>OK</v>
      </c>
    </row>
    <row r="52" spans="1:10" x14ac:dyDescent="0.2">
      <c r="A52">
        <v>5</v>
      </c>
      <c r="B52" t="s">
        <v>11</v>
      </c>
      <c r="C52">
        <v>65</v>
      </c>
      <c r="D52" s="481">
        <f t="shared" si="5"/>
        <v>349.22823143300388</v>
      </c>
      <c r="E52" s="565">
        <v>14.5</v>
      </c>
      <c r="F52" s="481">
        <f t="shared" si="6"/>
        <v>9.1999999999999993</v>
      </c>
      <c r="G52" s="648">
        <f t="shared" si="7"/>
        <v>3.2589273221538234E-2</v>
      </c>
      <c r="H52" s="702">
        <f t="shared" si="8"/>
        <v>0.24729408956398874</v>
      </c>
      <c r="I52" s="469">
        <f t="shared" si="9"/>
        <v>0.82776753982707107</v>
      </c>
      <c r="J52" s="330" t="str">
        <f t="shared" si="10"/>
        <v>OK</v>
      </c>
    </row>
    <row r="53" spans="1:10" x14ac:dyDescent="0.2">
      <c r="A53">
        <v>6</v>
      </c>
      <c r="B53" t="s">
        <v>24</v>
      </c>
      <c r="C53">
        <v>62</v>
      </c>
      <c r="D53" s="481">
        <f t="shared" si="5"/>
        <v>293.66476791740757</v>
      </c>
      <c r="E53" s="565">
        <v>18</v>
      </c>
      <c r="F53" s="481">
        <f t="shared" si="6"/>
        <v>10</v>
      </c>
      <c r="G53" s="648">
        <f t="shared" si="7"/>
        <v>3.2548708260249165E-2</v>
      </c>
      <c r="H53" s="702">
        <f t="shared" si="8"/>
        <v>0.26946833849078794</v>
      </c>
      <c r="I53" s="469">
        <f t="shared" si="9"/>
        <v>0.82673718981032873</v>
      </c>
      <c r="J53" s="330" t="str">
        <f t="shared" si="10"/>
        <v>OK</v>
      </c>
    </row>
    <row r="55" spans="1:10" x14ac:dyDescent="0.2">
      <c r="A55" s="484" t="s">
        <v>3452</v>
      </c>
      <c r="B55" s="479"/>
      <c r="C55" s="479"/>
      <c r="D55" s="479"/>
      <c r="E55" s="479"/>
      <c r="F55" s="479"/>
      <c r="G55" s="479"/>
      <c r="H55" s="479"/>
      <c r="I55" s="479"/>
      <c r="J55" s="479"/>
    </row>
    <row r="56" spans="1:10" x14ac:dyDescent="0.2">
      <c r="A56" s="475" t="s">
        <v>610</v>
      </c>
      <c r="B56" s="475" t="s">
        <v>785</v>
      </c>
      <c r="C56" s="475" t="s">
        <v>1272</v>
      </c>
      <c r="D56" s="475" t="s">
        <v>1368</v>
      </c>
      <c r="E56" s="475" t="s">
        <v>1946</v>
      </c>
      <c r="F56" s="475" t="s">
        <v>1948</v>
      </c>
      <c r="G56" s="475" t="s">
        <v>1947</v>
      </c>
      <c r="H56" s="475" t="s">
        <v>1949</v>
      </c>
      <c r="I56" s="475" t="s">
        <v>3450</v>
      </c>
      <c r="J56" s="475" t="s">
        <v>3451</v>
      </c>
    </row>
    <row r="57" spans="1:10" x14ac:dyDescent="0.2">
      <c r="A57">
        <v>1</v>
      </c>
      <c r="B57" t="s">
        <v>34</v>
      </c>
      <c r="C57">
        <v>74</v>
      </c>
      <c r="D57" s="481">
        <f>440*2^((C57-69)/12)</f>
        <v>587.32953583481515</v>
      </c>
      <c r="E57" s="565">
        <v>6.5</v>
      </c>
      <c r="F57" s="481">
        <f>$C$12+(A57-1)*($C$13-$C$12)/($C$6-1)</f>
        <v>6</v>
      </c>
      <c r="G57" s="648">
        <f>2*SQRT(F57*386.4/($B$14*PI()*4*E57^2*D57^2))</f>
        <v>3.4909090624387046E-2</v>
      </c>
      <c r="H57" s="702">
        <f>$B$14*4*E57^2*D57^2/($B$15*386.4)</f>
        <v>0.14055601606463938</v>
      </c>
      <c r="I57" s="469">
        <f>G57*25.4</f>
        <v>0.88669090185943089</v>
      </c>
      <c r="J57" s="330" t="str">
        <f>IF(H57&gt;0.8,"⚠️ High","OK")</f>
        <v>OK</v>
      </c>
    </row>
    <row r="58" spans="1:10" x14ac:dyDescent="0.2">
      <c r="A58">
        <v>2</v>
      </c>
      <c r="B58" t="s">
        <v>32</v>
      </c>
      <c r="C58">
        <v>72</v>
      </c>
      <c r="D58" s="481">
        <f t="shared" ref="D58:D66" si="11">440*2^((C58-69)/12)</f>
        <v>523.25113060119725</v>
      </c>
      <c r="E58" s="565">
        <v>7.5</v>
      </c>
      <c r="F58" s="481">
        <f t="shared" ref="F58:F66" si="12">$C$12+(A58-1)*($C$13-$C$12)/($C$6-1)</f>
        <v>6.666666666666667</v>
      </c>
      <c r="G58" s="648">
        <f t="shared" ref="G58:G66" si="13">2*SQRT(F58*386.4/($B$14*PI()*4*E58^2*D58^2))</f>
        <v>3.5796539113108608E-2</v>
      </c>
      <c r="H58" s="702">
        <f t="shared" ref="H58:H66" si="14">$B$14*4*E58^2*D58^2/($B$15*386.4)</f>
        <v>0.14852580694180539</v>
      </c>
      <c r="I58" s="469">
        <f t="shared" ref="I58:I66" si="15">G58*25.4</f>
        <v>0.90923209347295864</v>
      </c>
      <c r="J58" s="330" t="str">
        <f t="shared" ref="J58:J66" si="16">IF(H58&gt;0.8,"⚠️ High","OK")</f>
        <v>OK</v>
      </c>
    </row>
    <row r="59" spans="1:10" x14ac:dyDescent="0.2">
      <c r="A59">
        <v>3</v>
      </c>
      <c r="B59" t="s">
        <v>29</v>
      </c>
      <c r="C59">
        <v>69</v>
      </c>
      <c r="D59" s="481">
        <f t="shared" si="11"/>
        <v>440</v>
      </c>
      <c r="E59" s="565">
        <v>9</v>
      </c>
      <c r="F59" s="481">
        <f t="shared" si="12"/>
        <v>7.333333333333333</v>
      </c>
      <c r="G59" s="648">
        <f t="shared" si="13"/>
        <v>3.7206056016195477E-2</v>
      </c>
      <c r="H59" s="702">
        <f t="shared" si="14"/>
        <v>0.15123399158844664</v>
      </c>
      <c r="I59" s="469">
        <f t="shared" si="15"/>
        <v>0.94503382281136505</v>
      </c>
      <c r="J59" s="330" t="str">
        <f t="shared" si="16"/>
        <v>OK</v>
      </c>
    </row>
    <row r="60" spans="1:10" x14ac:dyDescent="0.2">
      <c r="A60">
        <v>4</v>
      </c>
      <c r="B60" t="s">
        <v>27</v>
      </c>
      <c r="C60">
        <v>67</v>
      </c>
      <c r="D60" s="481">
        <f t="shared" si="11"/>
        <v>391.99543598174927</v>
      </c>
      <c r="E60" s="565">
        <v>10.5</v>
      </c>
      <c r="F60" s="481">
        <f t="shared" si="12"/>
        <v>8</v>
      </c>
      <c r="G60" s="648">
        <f t="shared" si="13"/>
        <v>3.7388048066196201E-2</v>
      </c>
      <c r="H60" s="702">
        <f t="shared" si="14"/>
        <v>0.16338028985696734</v>
      </c>
      <c r="I60" s="469">
        <f t="shared" si="15"/>
        <v>0.94965642088138347</v>
      </c>
      <c r="J60" s="330" t="str">
        <f t="shared" si="16"/>
        <v>OK</v>
      </c>
    </row>
    <row r="61" spans="1:10" x14ac:dyDescent="0.2">
      <c r="A61">
        <v>5</v>
      </c>
      <c r="B61" t="s">
        <v>11</v>
      </c>
      <c r="C61">
        <v>65</v>
      </c>
      <c r="D61" s="481">
        <f t="shared" si="11"/>
        <v>349.22823143300388</v>
      </c>
      <c r="E61" s="565">
        <v>12</v>
      </c>
      <c r="F61" s="481">
        <f t="shared" si="12"/>
        <v>8.6666666666666661</v>
      </c>
      <c r="G61" s="648">
        <f t="shared" si="13"/>
        <v>3.8220253606511954E-2</v>
      </c>
      <c r="H61" s="702">
        <f t="shared" si="14"/>
        <v>0.16937145729947387</v>
      </c>
      <c r="I61" s="469">
        <f t="shared" si="15"/>
        <v>0.97079444160540362</v>
      </c>
      <c r="J61" s="330" t="str">
        <f t="shared" si="16"/>
        <v>OK</v>
      </c>
    </row>
    <row r="62" spans="1:10" x14ac:dyDescent="0.2">
      <c r="A62">
        <v>6</v>
      </c>
      <c r="B62" t="s">
        <v>24</v>
      </c>
      <c r="C62">
        <v>62</v>
      </c>
      <c r="D62" s="481">
        <f t="shared" si="11"/>
        <v>293.66476791740757</v>
      </c>
      <c r="E62" s="565">
        <v>14</v>
      </c>
      <c r="F62" s="481">
        <f t="shared" si="12"/>
        <v>9.3333333333333339</v>
      </c>
      <c r="G62" s="648">
        <f t="shared" si="13"/>
        <v>4.0429336628663895E-2</v>
      </c>
      <c r="H62" s="702">
        <f t="shared" si="14"/>
        <v>0.16301171093887171</v>
      </c>
      <c r="I62" s="469">
        <f t="shared" si="15"/>
        <v>1.0269051503680628</v>
      </c>
      <c r="J62" s="330" t="str">
        <f t="shared" si="16"/>
        <v>OK</v>
      </c>
    </row>
    <row r="63" spans="1:10" x14ac:dyDescent="0.2">
      <c r="A63">
        <v>7</v>
      </c>
      <c r="B63" t="s">
        <v>244</v>
      </c>
      <c r="C63">
        <v>60</v>
      </c>
      <c r="D63" s="481">
        <f t="shared" si="11"/>
        <v>261.62556530059862</v>
      </c>
      <c r="E63" s="565">
        <v>16</v>
      </c>
      <c r="F63" s="481">
        <f t="shared" si="12"/>
        <v>10</v>
      </c>
      <c r="G63" s="648">
        <f t="shared" si="13"/>
        <v>4.1101525961576423E-2</v>
      </c>
      <c r="H63" s="702">
        <f t="shared" si="14"/>
        <v>0.16898936256489858</v>
      </c>
      <c r="I63" s="469">
        <f t="shared" si="15"/>
        <v>1.0439787594240411</v>
      </c>
      <c r="J63" s="330" t="str">
        <f t="shared" si="16"/>
        <v>OK</v>
      </c>
    </row>
    <row r="64" spans="1:10" x14ac:dyDescent="0.2">
      <c r="A64">
        <v>8</v>
      </c>
      <c r="B64" t="s">
        <v>500</v>
      </c>
      <c r="C64">
        <v>57</v>
      </c>
      <c r="D64" s="481">
        <f t="shared" si="11"/>
        <v>220</v>
      </c>
      <c r="E64" s="565">
        <v>18.5</v>
      </c>
      <c r="F64" s="481">
        <f t="shared" si="12"/>
        <v>10.666666666666668</v>
      </c>
      <c r="G64" s="648">
        <f t="shared" si="13"/>
        <v>4.3659429960176528E-2</v>
      </c>
      <c r="H64" s="702">
        <f t="shared" si="14"/>
        <v>0.15975257290477118</v>
      </c>
      <c r="I64" s="469">
        <f t="shared" si="15"/>
        <v>1.1089495209884837</v>
      </c>
      <c r="J64" s="330" t="str">
        <f t="shared" si="16"/>
        <v>OK</v>
      </c>
    </row>
    <row r="65" spans="1:10" x14ac:dyDescent="0.2">
      <c r="A65">
        <v>9</v>
      </c>
      <c r="B65" t="s">
        <v>1007</v>
      </c>
      <c r="C65">
        <v>55</v>
      </c>
      <c r="D65" s="481">
        <f t="shared" si="11"/>
        <v>195.99771799087463</v>
      </c>
      <c r="E65" s="565">
        <v>20.5</v>
      </c>
      <c r="F65" s="481">
        <f t="shared" si="12"/>
        <v>11.333333333333332</v>
      </c>
      <c r="G65" s="648">
        <f t="shared" si="13"/>
        <v>4.5586060620332207E-2</v>
      </c>
      <c r="H65" s="702">
        <f t="shared" si="14"/>
        <v>0.15569289526619168</v>
      </c>
      <c r="I65" s="469">
        <f t="shared" si="15"/>
        <v>1.1578859397564381</v>
      </c>
      <c r="J65" s="330" t="str">
        <f t="shared" si="16"/>
        <v>OK</v>
      </c>
    </row>
    <row r="66" spans="1:10" x14ac:dyDescent="0.2">
      <c r="A66">
        <v>10</v>
      </c>
      <c r="B66" t="s">
        <v>1280</v>
      </c>
      <c r="C66">
        <v>53</v>
      </c>
      <c r="D66" s="481">
        <f t="shared" si="11"/>
        <v>174.61411571650197</v>
      </c>
      <c r="E66" s="565">
        <v>22</v>
      </c>
      <c r="F66" s="481">
        <f t="shared" si="12"/>
        <v>12</v>
      </c>
      <c r="G66" s="648">
        <f t="shared" si="13"/>
        <v>4.906216421221328E-2</v>
      </c>
      <c r="H66" s="702">
        <f t="shared" si="14"/>
        <v>0.14231907175858571</v>
      </c>
      <c r="I66" s="469">
        <f t="shared" si="15"/>
        <v>1.2461789709902173</v>
      </c>
      <c r="J66" s="330" t="str">
        <f t="shared" si="16"/>
        <v>OK</v>
      </c>
    </row>
    <row r="68" spans="1:10" x14ac:dyDescent="0.2">
      <c r="A68" s="484" t="s">
        <v>3453</v>
      </c>
      <c r="B68" s="479"/>
      <c r="C68" s="479"/>
      <c r="D68" s="479"/>
      <c r="E68" s="479"/>
      <c r="F68" s="479"/>
      <c r="G68" s="479"/>
      <c r="H68" s="479"/>
      <c r="I68" s="479"/>
      <c r="J68" s="479"/>
    </row>
    <row r="69" spans="1:10" x14ac:dyDescent="0.2">
      <c r="A69" s="475" t="s">
        <v>610</v>
      </c>
      <c r="B69" s="475" t="s">
        <v>785</v>
      </c>
      <c r="C69" s="475" t="s">
        <v>1272</v>
      </c>
      <c r="D69" s="475" t="s">
        <v>1368</v>
      </c>
      <c r="E69" s="475" t="s">
        <v>1946</v>
      </c>
      <c r="F69" s="475" t="s">
        <v>1948</v>
      </c>
      <c r="G69" s="475" t="s">
        <v>1947</v>
      </c>
      <c r="H69" s="475" t="s">
        <v>1949</v>
      </c>
      <c r="I69" s="475" t="s">
        <v>3450</v>
      </c>
      <c r="J69" s="475" t="s">
        <v>3451</v>
      </c>
    </row>
    <row r="70" spans="1:10" x14ac:dyDescent="0.2">
      <c r="A70">
        <v>1</v>
      </c>
      <c r="B70" t="s">
        <v>58</v>
      </c>
      <c r="C70">
        <v>86</v>
      </c>
      <c r="D70" s="481">
        <f>440*2^((C70-69)/12)</f>
        <v>1174.6590716696303</v>
      </c>
      <c r="E70" s="565">
        <v>6</v>
      </c>
      <c r="F70" s="481">
        <f>$D$12+(A70-1)*($D$13-$D$12)/($D$6-1)</f>
        <v>6</v>
      </c>
      <c r="G70" s="648">
        <f>2*SQRT(F70*386.4/($B$14*PI()*4*E70^2*D70^2))</f>
        <v>1.8909090754876318E-2</v>
      </c>
      <c r="H70" s="702">
        <f>$B$14*4*E70^2*D70^2/($B$15*386.4)</f>
        <v>0.47905482398362298</v>
      </c>
      <c r="I70" s="469">
        <f>G70*25.4</f>
        <v>0.48029090517385842</v>
      </c>
      <c r="J70" s="330" t="str">
        <f>IF(H70&gt;0.8,"⚠️ High","OK")</f>
        <v>OK</v>
      </c>
    </row>
    <row r="71" spans="1:10" x14ac:dyDescent="0.2">
      <c r="A71">
        <v>2</v>
      </c>
      <c r="B71" t="s">
        <v>55</v>
      </c>
      <c r="C71">
        <v>84</v>
      </c>
      <c r="D71" s="481">
        <f t="shared" ref="D71:D83" si="17">440*2^((C71-69)/12)</f>
        <v>1046.5022612023945</v>
      </c>
      <c r="E71" s="565">
        <v>7</v>
      </c>
      <c r="F71" s="481">
        <f t="shared" ref="F71:F83" si="18">$D$12+(A71-1)*($D$13-$D$12)/($D$6-1)</f>
        <v>6.615384615384615</v>
      </c>
      <c r="G71" s="648">
        <f t="shared" ref="G71:G83" si="19">2*SQRT(F71*386.4/($B$14*PI()*4*E71^2*D71^2))</f>
        <v>1.910281838890739E-2</v>
      </c>
      <c r="H71" s="702">
        <f t="shared" ref="H71:H83" si="20">$B$14*4*E71^2*D71^2/($B$15*386.4)</f>
        <v>0.51752992285500199</v>
      </c>
      <c r="I71" s="469">
        <f t="shared" ref="I71:I83" si="21">G71*25.4</f>
        <v>0.48521158707824769</v>
      </c>
      <c r="J71" s="330" t="str">
        <f t="shared" ref="J71:J83" si="22">IF(H71&gt;0.8,"⚠️ High","OK")</f>
        <v>OK</v>
      </c>
    </row>
    <row r="72" spans="1:10" x14ac:dyDescent="0.2">
      <c r="A72">
        <v>3</v>
      </c>
      <c r="B72" t="s">
        <v>47</v>
      </c>
      <c r="C72">
        <v>81</v>
      </c>
      <c r="D72" s="481">
        <f t="shared" si="17"/>
        <v>880</v>
      </c>
      <c r="E72" s="565">
        <v>8.5</v>
      </c>
      <c r="F72" s="481">
        <f t="shared" si="18"/>
        <v>7.2307692307692308</v>
      </c>
      <c r="G72" s="648">
        <f t="shared" si="19"/>
        <v>1.9559095231971853E-2</v>
      </c>
      <c r="H72" s="702">
        <f t="shared" si="20"/>
        <v>0.53958794529705034</v>
      </c>
      <c r="I72" s="469">
        <f t="shared" si="21"/>
        <v>0.49680101889208506</v>
      </c>
      <c r="J72" s="330" t="str">
        <f t="shared" si="22"/>
        <v>OK</v>
      </c>
    </row>
    <row r="73" spans="1:10" x14ac:dyDescent="0.2">
      <c r="A73">
        <v>4</v>
      </c>
      <c r="B73" t="s">
        <v>42</v>
      </c>
      <c r="C73">
        <v>79</v>
      </c>
      <c r="D73" s="481">
        <f t="shared" si="17"/>
        <v>783.99087196349853</v>
      </c>
      <c r="E73" s="565">
        <v>9.5</v>
      </c>
      <c r="F73" s="481">
        <f t="shared" si="18"/>
        <v>7.8461538461538467</v>
      </c>
      <c r="G73" s="648">
        <f t="shared" si="19"/>
        <v>2.0462180281984977E-2</v>
      </c>
      <c r="H73" s="702">
        <f t="shared" si="20"/>
        <v>0.53496856814843741</v>
      </c>
      <c r="I73" s="469">
        <f t="shared" si="21"/>
        <v>0.51973937916241841</v>
      </c>
      <c r="J73" s="330" t="str">
        <f t="shared" si="22"/>
        <v>OK</v>
      </c>
    </row>
    <row r="74" spans="1:10" x14ac:dyDescent="0.2">
      <c r="A74">
        <v>5</v>
      </c>
      <c r="B74" t="s">
        <v>37</v>
      </c>
      <c r="C74">
        <v>77</v>
      </c>
      <c r="D74" s="481">
        <f t="shared" si="17"/>
        <v>698.45646286600777</v>
      </c>
      <c r="E74" s="565">
        <v>10.5</v>
      </c>
      <c r="F74" s="481">
        <f t="shared" si="18"/>
        <v>8.4615384615384617</v>
      </c>
      <c r="G74" s="648">
        <f t="shared" si="19"/>
        <v>2.1580133924888386E-2</v>
      </c>
      <c r="H74" s="702">
        <f t="shared" si="20"/>
        <v>0.51870008797963874</v>
      </c>
      <c r="I74" s="469">
        <f t="shared" si="21"/>
        <v>0.54813540169216501</v>
      </c>
      <c r="J74" s="330" t="str">
        <f t="shared" si="22"/>
        <v>OK</v>
      </c>
    </row>
    <row r="75" spans="1:10" x14ac:dyDescent="0.2">
      <c r="A75">
        <v>6</v>
      </c>
      <c r="B75" t="s">
        <v>34</v>
      </c>
      <c r="C75">
        <v>74</v>
      </c>
      <c r="D75" s="481">
        <f t="shared" si="17"/>
        <v>587.32953583481515</v>
      </c>
      <c r="E75" s="565">
        <v>12</v>
      </c>
      <c r="F75" s="481">
        <f t="shared" si="18"/>
        <v>9.0769230769230766</v>
      </c>
      <c r="G75" s="648">
        <f t="shared" si="19"/>
        <v>2.3257570632549317E-2</v>
      </c>
      <c r="H75" s="702">
        <f t="shared" si="20"/>
        <v>0.47905482398362298</v>
      </c>
      <c r="I75" s="469">
        <f t="shared" si="21"/>
        <v>0.5907422940667526</v>
      </c>
      <c r="J75" s="330" t="str">
        <f t="shared" si="22"/>
        <v>OK</v>
      </c>
    </row>
    <row r="76" spans="1:10" x14ac:dyDescent="0.2">
      <c r="A76">
        <v>7</v>
      </c>
      <c r="B76" t="s">
        <v>32</v>
      </c>
      <c r="C76">
        <v>72</v>
      </c>
      <c r="D76" s="481">
        <f t="shared" si="17"/>
        <v>523.25113060119725</v>
      </c>
      <c r="E76" s="565">
        <v>14</v>
      </c>
      <c r="F76" s="481">
        <f t="shared" si="18"/>
        <v>9.6923076923076934</v>
      </c>
      <c r="G76" s="648">
        <f t="shared" si="19"/>
        <v>2.3122431088071993E-2</v>
      </c>
      <c r="H76" s="702">
        <f t="shared" si="20"/>
        <v>0.51752992285500199</v>
      </c>
      <c r="I76" s="469">
        <f t="shared" si="21"/>
        <v>0.58730974963702864</v>
      </c>
      <c r="J76" s="330" t="str">
        <f t="shared" si="22"/>
        <v>OK</v>
      </c>
    </row>
    <row r="77" spans="1:10" x14ac:dyDescent="0.2">
      <c r="A77">
        <v>8</v>
      </c>
      <c r="B77" t="s">
        <v>29</v>
      </c>
      <c r="C77">
        <v>69</v>
      </c>
      <c r="D77" s="481">
        <f t="shared" si="17"/>
        <v>440</v>
      </c>
      <c r="E77" s="565">
        <v>16</v>
      </c>
      <c r="F77" s="481">
        <f t="shared" si="18"/>
        <v>10.307692307692307</v>
      </c>
      <c r="G77" s="648">
        <f t="shared" si="19"/>
        <v>2.4812251372853339E-2</v>
      </c>
      <c r="H77" s="702">
        <f t="shared" si="20"/>
        <v>0.47797409687212761</v>
      </c>
      <c r="I77" s="469">
        <f t="shared" si="21"/>
        <v>0.6302311848704748</v>
      </c>
      <c r="J77" s="330" t="str">
        <f t="shared" si="22"/>
        <v>OK</v>
      </c>
    </row>
    <row r="78" spans="1:10" x14ac:dyDescent="0.2">
      <c r="A78">
        <v>9</v>
      </c>
      <c r="B78" t="s">
        <v>27</v>
      </c>
      <c r="C78">
        <v>67</v>
      </c>
      <c r="D78" s="481">
        <f t="shared" si="17"/>
        <v>391.99543598174927</v>
      </c>
      <c r="E78" s="565">
        <v>18</v>
      </c>
      <c r="F78" s="481">
        <f t="shared" si="18"/>
        <v>10.923076923076923</v>
      </c>
      <c r="G78" s="648">
        <f t="shared" si="19"/>
        <v>2.5484557014142175E-2</v>
      </c>
      <c r="H78" s="702">
        <f t="shared" si="20"/>
        <v>0.48013799468169999</v>
      </c>
      <c r="I78" s="469">
        <f t="shared" si="21"/>
        <v>0.64730774815921122</v>
      </c>
      <c r="J78" s="330" t="str">
        <f t="shared" si="22"/>
        <v>OK</v>
      </c>
    </row>
    <row r="79" spans="1:10" x14ac:dyDescent="0.2">
      <c r="A79">
        <v>10</v>
      </c>
      <c r="B79" t="s">
        <v>11</v>
      </c>
      <c r="C79">
        <v>65</v>
      </c>
      <c r="D79" s="481">
        <f t="shared" si="17"/>
        <v>349.22823143300388</v>
      </c>
      <c r="E79" s="565">
        <v>20</v>
      </c>
      <c r="F79" s="481">
        <f t="shared" si="18"/>
        <v>11.538461538461538</v>
      </c>
      <c r="G79" s="648">
        <f t="shared" si="19"/>
        <v>2.6460175573739048E-2</v>
      </c>
      <c r="H79" s="702">
        <f t="shared" si="20"/>
        <v>0.47047627027631622</v>
      </c>
      <c r="I79" s="469">
        <f t="shared" si="21"/>
        <v>0.67208845957297181</v>
      </c>
      <c r="J79" s="330" t="str">
        <f t="shared" si="22"/>
        <v>OK</v>
      </c>
    </row>
    <row r="80" spans="1:10" x14ac:dyDescent="0.2">
      <c r="A80">
        <v>11</v>
      </c>
      <c r="B80" t="s">
        <v>24</v>
      </c>
      <c r="C80">
        <v>62</v>
      </c>
      <c r="D80" s="481">
        <f t="shared" si="17"/>
        <v>293.66476791740757</v>
      </c>
      <c r="E80" s="565">
        <v>22</v>
      </c>
      <c r="F80" s="481">
        <f t="shared" si="18"/>
        <v>12.153846153846153</v>
      </c>
      <c r="G80" s="648">
        <f t="shared" si="19"/>
        <v>2.9358945265624815E-2</v>
      </c>
      <c r="H80" s="702">
        <f t="shared" si="20"/>
        <v>0.40253912293068322</v>
      </c>
      <c r="I80" s="469">
        <f t="shared" si="21"/>
        <v>0.74571720974687028</v>
      </c>
      <c r="J80" s="330" t="str">
        <f t="shared" si="22"/>
        <v>OK</v>
      </c>
    </row>
    <row r="81" spans="1:10" x14ac:dyDescent="0.2">
      <c r="A81">
        <v>12</v>
      </c>
      <c r="B81" t="s">
        <v>244</v>
      </c>
      <c r="C81">
        <v>60</v>
      </c>
      <c r="D81" s="481">
        <f t="shared" si="17"/>
        <v>261.62556530059862</v>
      </c>
      <c r="E81" s="565">
        <v>24</v>
      </c>
      <c r="F81" s="481">
        <f t="shared" si="18"/>
        <v>12.76923076923077</v>
      </c>
      <c r="G81" s="648">
        <f t="shared" si="19"/>
        <v>3.096342934900927E-2</v>
      </c>
      <c r="H81" s="702">
        <f t="shared" si="20"/>
        <v>0.3802260657710218</v>
      </c>
      <c r="I81" s="469">
        <f t="shared" si="21"/>
        <v>0.78647110546483545</v>
      </c>
      <c r="J81" s="330" t="str">
        <f t="shared" si="22"/>
        <v>OK</v>
      </c>
    </row>
    <row r="82" spans="1:10" x14ac:dyDescent="0.2">
      <c r="A82">
        <v>13</v>
      </c>
      <c r="B82" t="s">
        <v>500</v>
      </c>
      <c r="C82">
        <v>57</v>
      </c>
      <c r="D82" s="481">
        <f t="shared" si="17"/>
        <v>220</v>
      </c>
      <c r="E82" s="565">
        <v>26</v>
      </c>
      <c r="F82" s="481">
        <f t="shared" si="18"/>
        <v>13.384615384615385</v>
      </c>
      <c r="G82" s="648">
        <f t="shared" si="19"/>
        <v>3.4798860868107934E-2</v>
      </c>
      <c r="H82" s="702">
        <f t="shared" si="20"/>
        <v>0.3155375873882405</v>
      </c>
      <c r="I82" s="469">
        <f t="shared" si="21"/>
        <v>0.8838910660499415</v>
      </c>
      <c r="J82" s="330" t="str">
        <f t="shared" si="22"/>
        <v>OK</v>
      </c>
    </row>
    <row r="83" spans="1:10" x14ac:dyDescent="0.2">
      <c r="A83">
        <v>14</v>
      </c>
      <c r="B83" t="s">
        <v>1007</v>
      </c>
      <c r="C83">
        <v>55</v>
      </c>
      <c r="D83" s="481">
        <f t="shared" si="17"/>
        <v>195.99771799087463</v>
      </c>
      <c r="E83" s="565">
        <v>28</v>
      </c>
      <c r="F83" s="481">
        <f t="shared" si="18"/>
        <v>14</v>
      </c>
      <c r="G83" s="648">
        <f t="shared" si="19"/>
        <v>3.7094803945981698E-2</v>
      </c>
      <c r="H83" s="702">
        <f t="shared" si="20"/>
        <v>0.2904538486346086</v>
      </c>
      <c r="I83" s="469">
        <f t="shared" si="21"/>
        <v>0.94220802022793504</v>
      </c>
      <c r="J83" s="330" t="str">
        <f t="shared" si="22"/>
        <v>OK</v>
      </c>
    </row>
    <row r="85" spans="1:10" ht="15" x14ac:dyDescent="0.25">
      <c r="A85" s="749" t="s">
        <v>3454</v>
      </c>
      <c r="B85" s="750"/>
      <c r="C85" s="750"/>
      <c r="D85" s="750"/>
      <c r="E85" s="750"/>
      <c r="F85" s="750"/>
      <c r="G85" s="750"/>
    </row>
    <row r="86" spans="1:10" x14ac:dyDescent="0.2">
      <c r="A86" s="475" t="s">
        <v>610</v>
      </c>
      <c r="B86" s="475" t="s">
        <v>1544</v>
      </c>
      <c r="C86" s="475" t="s">
        <v>1545</v>
      </c>
      <c r="D86" s="475" t="s">
        <v>1546</v>
      </c>
      <c r="E86" s="475" t="s">
        <v>1547</v>
      </c>
      <c r="F86" s="475" t="s">
        <v>1188</v>
      </c>
      <c r="G86" s="475" t="s">
        <v>2</v>
      </c>
    </row>
    <row r="87" spans="1:10" x14ac:dyDescent="0.2">
      <c r="A87">
        <v>1</v>
      </c>
      <c r="B87" t="s">
        <v>3262</v>
      </c>
      <c r="C87" t="s">
        <v>3455</v>
      </c>
      <c r="D87">
        <f>B26</f>
        <v>110</v>
      </c>
      <c r="E87" t="s">
        <v>3456</v>
      </c>
      <c r="F87" t="s">
        <v>398</v>
      </c>
      <c r="G87" t="s">
        <v>3457</v>
      </c>
    </row>
    <row r="88" spans="1:10" x14ac:dyDescent="0.2">
      <c r="A88">
        <v>2</v>
      </c>
      <c r="B88" t="s">
        <v>1894</v>
      </c>
      <c r="C88" t="s">
        <v>2456</v>
      </c>
      <c r="D88">
        <v>1</v>
      </c>
      <c r="E88" t="s">
        <v>3458</v>
      </c>
      <c r="F88" t="s">
        <v>386</v>
      </c>
      <c r="G88" t="s">
        <v>3459</v>
      </c>
    </row>
    <row r="89" spans="1:10" x14ac:dyDescent="0.2">
      <c r="A89">
        <v>3</v>
      </c>
      <c r="B89" t="s">
        <v>3272</v>
      </c>
      <c r="C89" t="s">
        <v>3197</v>
      </c>
      <c r="D89">
        <v>1</v>
      </c>
      <c r="E89" t="s">
        <v>3460</v>
      </c>
      <c r="F89" t="s">
        <v>3274</v>
      </c>
      <c r="G89" t="s">
        <v>3461</v>
      </c>
    </row>
    <row r="90" spans="1:10" x14ac:dyDescent="0.2">
      <c r="A90">
        <v>4</v>
      </c>
      <c r="B90" t="s">
        <v>1558</v>
      </c>
      <c r="C90" t="s">
        <v>3276</v>
      </c>
      <c r="D90">
        <v>1</v>
      </c>
      <c r="E90" t="s">
        <v>3462</v>
      </c>
      <c r="F90" t="s">
        <v>386</v>
      </c>
      <c r="G90" t="s">
        <v>3463</v>
      </c>
    </row>
    <row r="91" spans="1:10" x14ac:dyDescent="0.2">
      <c r="A91">
        <v>5</v>
      </c>
      <c r="B91" t="s">
        <v>1824</v>
      </c>
      <c r="C91" t="s">
        <v>2018</v>
      </c>
      <c r="D91">
        <v>10</v>
      </c>
      <c r="E91" t="s">
        <v>3464</v>
      </c>
      <c r="F91" t="s">
        <v>1951</v>
      </c>
      <c r="G91" t="s">
        <v>3465</v>
      </c>
    </row>
    <row r="92" spans="1:10" x14ac:dyDescent="0.2">
      <c r="A92">
        <v>6</v>
      </c>
      <c r="B92" t="s">
        <v>1557</v>
      </c>
      <c r="C92" t="s">
        <v>3466</v>
      </c>
      <c r="D92">
        <v>10</v>
      </c>
      <c r="E92" t="s">
        <v>3467</v>
      </c>
      <c r="F92" t="s">
        <v>3468</v>
      </c>
      <c r="G92" t="s">
        <v>3469</v>
      </c>
    </row>
    <row r="93" spans="1:10" x14ac:dyDescent="0.2">
      <c r="A93">
        <v>7</v>
      </c>
      <c r="B93" t="s">
        <v>1557</v>
      </c>
      <c r="C93" t="s">
        <v>3470</v>
      </c>
      <c r="D93">
        <v>1</v>
      </c>
      <c r="E93" t="s">
        <v>3471</v>
      </c>
      <c r="F93" t="s">
        <v>3291</v>
      </c>
      <c r="G93" t="s">
        <v>3472</v>
      </c>
    </row>
    <row r="94" spans="1:10" x14ac:dyDescent="0.2">
      <c r="A94">
        <v>8</v>
      </c>
      <c r="B94" t="s">
        <v>1557</v>
      </c>
      <c r="C94" t="s">
        <v>3473</v>
      </c>
      <c r="D94">
        <v>16</v>
      </c>
      <c r="E94" t="s">
        <v>3474</v>
      </c>
      <c r="F94" t="s">
        <v>3475</v>
      </c>
      <c r="G94" t="s">
        <v>3476</v>
      </c>
    </row>
    <row r="95" spans="1:10" x14ac:dyDescent="0.2">
      <c r="A95">
        <v>9</v>
      </c>
      <c r="B95" t="s">
        <v>3477</v>
      </c>
      <c r="C95" t="s">
        <v>3478</v>
      </c>
      <c r="D95">
        <v>1</v>
      </c>
      <c r="E95" t="s">
        <v>3479</v>
      </c>
      <c r="F95" t="s">
        <v>2342</v>
      </c>
      <c r="G95" t="s">
        <v>3480</v>
      </c>
    </row>
    <row r="96" spans="1:10" x14ac:dyDescent="0.2">
      <c r="A96">
        <v>10</v>
      </c>
      <c r="B96" t="s">
        <v>1613</v>
      </c>
      <c r="C96" t="s">
        <v>3481</v>
      </c>
      <c r="D96">
        <v>1</v>
      </c>
      <c r="E96" t="s">
        <v>3482</v>
      </c>
      <c r="F96" t="s">
        <v>2342</v>
      </c>
      <c r="G96" t="s">
        <v>3483</v>
      </c>
    </row>
    <row r="98" spans="1:7" ht="15" x14ac:dyDescent="0.25">
      <c r="A98" s="749" t="s">
        <v>1849</v>
      </c>
      <c r="B98" s="750"/>
      <c r="C98" s="750"/>
      <c r="D98" s="750"/>
      <c r="E98" s="750"/>
      <c r="F98" s="750"/>
      <c r="G98" s="750"/>
    </row>
    <row r="99" spans="1:7" x14ac:dyDescent="0.2">
      <c r="A99" s="475" t="s">
        <v>1622</v>
      </c>
      <c r="B99" s="475" t="s">
        <v>1623</v>
      </c>
      <c r="C99" s="475" t="s">
        <v>1624</v>
      </c>
      <c r="D99" s="475" t="s">
        <v>1484</v>
      </c>
      <c r="E99" s="475" t="s">
        <v>2</v>
      </c>
      <c r="F99" s="474"/>
      <c r="G99" s="475" t="s">
        <v>1628</v>
      </c>
    </row>
    <row r="100" spans="1:7" x14ac:dyDescent="0.2">
      <c r="A100">
        <v>1</v>
      </c>
      <c r="B100" t="s">
        <v>3262</v>
      </c>
      <c r="C100" t="s">
        <v>3484</v>
      </c>
      <c r="D100" t="s">
        <v>3485</v>
      </c>
      <c r="E100" t="s">
        <v>3486</v>
      </c>
    </row>
    <row r="101" spans="1:7" x14ac:dyDescent="0.2">
      <c r="A101">
        <v>2</v>
      </c>
      <c r="B101" t="s">
        <v>3262</v>
      </c>
      <c r="C101" t="s">
        <v>3487</v>
      </c>
      <c r="D101" t="s">
        <v>3488</v>
      </c>
      <c r="E101" t="s">
        <v>3489</v>
      </c>
    </row>
    <row r="102" spans="1:7" x14ac:dyDescent="0.2">
      <c r="A102">
        <v>3</v>
      </c>
      <c r="B102" t="s">
        <v>3262</v>
      </c>
      <c r="C102" t="s">
        <v>3490</v>
      </c>
      <c r="D102" t="s">
        <v>3339</v>
      </c>
      <c r="E102" t="s">
        <v>3491</v>
      </c>
    </row>
    <row r="103" spans="1:7" x14ac:dyDescent="0.2">
      <c r="A103">
        <v>4</v>
      </c>
      <c r="B103" t="s">
        <v>1894</v>
      </c>
      <c r="C103" t="s">
        <v>3492</v>
      </c>
      <c r="D103" t="s">
        <v>3493</v>
      </c>
      <c r="E103" t="s">
        <v>3494</v>
      </c>
    </row>
    <row r="104" spans="1:7" x14ac:dyDescent="0.2">
      <c r="A104">
        <v>5</v>
      </c>
      <c r="B104" t="s">
        <v>1894</v>
      </c>
      <c r="C104" t="s">
        <v>3495</v>
      </c>
      <c r="D104" t="s">
        <v>3496</v>
      </c>
      <c r="E104" t="s">
        <v>3497</v>
      </c>
    </row>
    <row r="105" spans="1:7" x14ac:dyDescent="0.2">
      <c r="A105">
        <v>6</v>
      </c>
      <c r="B105" t="s">
        <v>3272</v>
      </c>
      <c r="C105" t="s">
        <v>3498</v>
      </c>
      <c r="D105" t="s">
        <v>3499</v>
      </c>
      <c r="E105" t="s">
        <v>3500</v>
      </c>
    </row>
    <row r="106" spans="1:7" x14ac:dyDescent="0.2">
      <c r="A106">
        <v>7</v>
      </c>
      <c r="B106" t="s">
        <v>1558</v>
      </c>
      <c r="C106" t="s">
        <v>3501</v>
      </c>
      <c r="D106" t="s">
        <v>3502</v>
      </c>
      <c r="E106" t="s">
        <v>3503</v>
      </c>
    </row>
    <row r="107" spans="1:7" x14ac:dyDescent="0.2">
      <c r="A107">
        <v>8</v>
      </c>
      <c r="B107" t="s">
        <v>1734</v>
      </c>
      <c r="C107" t="s">
        <v>3504</v>
      </c>
      <c r="D107" t="s">
        <v>3227</v>
      </c>
      <c r="E107" t="s">
        <v>3505</v>
      </c>
    </row>
    <row r="108" spans="1:7" x14ac:dyDescent="0.2">
      <c r="A108">
        <v>9</v>
      </c>
      <c r="B108" t="s">
        <v>1734</v>
      </c>
      <c r="C108" t="s">
        <v>3506</v>
      </c>
      <c r="D108" t="s">
        <v>3507</v>
      </c>
      <c r="E108" t="s">
        <v>3508</v>
      </c>
    </row>
    <row r="109" spans="1:7" x14ac:dyDescent="0.2">
      <c r="A109">
        <v>10</v>
      </c>
      <c r="B109" t="s">
        <v>1595</v>
      </c>
      <c r="C109" t="s">
        <v>3509</v>
      </c>
      <c r="D109" t="s">
        <v>3510</v>
      </c>
      <c r="E109" t="s">
        <v>3511</v>
      </c>
    </row>
    <row r="111" spans="1:7" ht="15" x14ac:dyDescent="0.25">
      <c r="A111" s="751" t="s">
        <v>1532</v>
      </c>
      <c r="B111" s="752"/>
      <c r="C111" s="752"/>
      <c r="D111" s="752"/>
      <c r="E111" s="752"/>
    </row>
    <row r="112" spans="1:7" x14ac:dyDescent="0.2">
      <c r="A112" t="s">
        <v>3512</v>
      </c>
    </row>
    <row r="113" spans="1:1" x14ac:dyDescent="0.2">
      <c r="A113" t="s">
        <v>3513</v>
      </c>
    </row>
    <row r="114" spans="1:1" x14ac:dyDescent="0.2">
      <c r="A114" t="s">
        <v>3514</v>
      </c>
    </row>
    <row r="115" spans="1:1" x14ac:dyDescent="0.2">
      <c r="A115" t="s">
        <v>3515</v>
      </c>
    </row>
    <row r="116" spans="1:1" x14ac:dyDescent="0.2">
      <c r="A116" t="s">
        <v>3516</v>
      </c>
    </row>
    <row r="117" spans="1:1" x14ac:dyDescent="0.2">
      <c r="A117" t="s">
        <v>3517</v>
      </c>
    </row>
    <row r="118" spans="1:1" x14ac:dyDescent="0.2">
      <c r="A118" t="s">
        <v>3518</v>
      </c>
    </row>
    <row r="121" spans="1:1" ht="18" x14ac:dyDescent="0.25">
      <c r="A121" s="833" t="s">
        <v>6856</v>
      </c>
    </row>
    <row r="122" spans="1:1" x14ac:dyDescent="0.2">
      <c r="A122" s="734" t="s">
        <v>6857</v>
      </c>
    </row>
    <row r="124" spans="1:1" x14ac:dyDescent="0.2">
      <c r="A124" s="609" t="s">
        <v>6355</v>
      </c>
    </row>
    <row r="125" spans="1:1" x14ac:dyDescent="0.2">
      <c r="A125" t="s">
        <v>6858</v>
      </c>
    </row>
    <row r="126" spans="1:1" x14ac:dyDescent="0.2">
      <c r="A126" t="s">
        <v>6859</v>
      </c>
    </row>
    <row r="127" spans="1:1" x14ac:dyDescent="0.2">
      <c r="A127" t="s">
        <v>6860</v>
      </c>
    </row>
    <row r="129" spans="1:1" x14ac:dyDescent="0.2">
      <c r="A129" s="609" t="s">
        <v>6359</v>
      </c>
    </row>
    <row r="130" spans="1:1" x14ac:dyDescent="0.2">
      <c r="A130" t="s">
        <v>6861</v>
      </c>
    </row>
    <row r="131" spans="1:1" x14ac:dyDescent="0.2">
      <c r="A131" t="s">
        <v>6862</v>
      </c>
    </row>
    <row r="132" spans="1:1" x14ac:dyDescent="0.2">
      <c r="A132" t="s">
        <v>6863</v>
      </c>
    </row>
    <row r="133" spans="1:1" x14ac:dyDescent="0.2">
      <c r="A133" t="s">
        <v>6864</v>
      </c>
    </row>
    <row r="135" spans="1:1" x14ac:dyDescent="0.2">
      <c r="A135" s="609" t="s">
        <v>6654</v>
      </c>
    </row>
    <row r="136" spans="1:1" x14ac:dyDescent="0.2">
      <c r="A136" t="s">
        <v>6865</v>
      </c>
    </row>
    <row r="137" spans="1:1" x14ac:dyDescent="0.2">
      <c r="A137" t="s">
        <v>6866</v>
      </c>
    </row>
    <row r="138" spans="1:1" x14ac:dyDescent="0.2">
      <c r="A138" t="s">
        <v>6867</v>
      </c>
    </row>
    <row r="140" spans="1:1" x14ac:dyDescent="0.2">
      <c r="A140" s="609" t="s">
        <v>6658</v>
      </c>
    </row>
    <row r="141" spans="1:1" x14ac:dyDescent="0.2">
      <c r="A141" t="s">
        <v>6868</v>
      </c>
    </row>
    <row r="142" spans="1:1" x14ac:dyDescent="0.2">
      <c r="A142" t="s">
        <v>6869</v>
      </c>
    </row>
    <row r="144" spans="1:1" x14ac:dyDescent="0.2">
      <c r="A144" s="609" t="s">
        <v>6661</v>
      </c>
    </row>
    <row r="145" spans="1:1" x14ac:dyDescent="0.2">
      <c r="A145" t="s">
        <v>6493</v>
      </c>
    </row>
    <row r="146" spans="1:1" x14ac:dyDescent="0.2">
      <c r="A146" t="s">
        <v>6870</v>
      </c>
    </row>
    <row r="147" spans="1:1" x14ac:dyDescent="0.2">
      <c r="A147" t="s">
        <v>6871</v>
      </c>
    </row>
    <row r="149" spans="1:1" x14ac:dyDescent="0.2">
      <c r="A149" s="609" t="s">
        <v>6682</v>
      </c>
    </row>
    <row r="150" spans="1:1" x14ac:dyDescent="0.2">
      <c r="A150" t="s">
        <v>6872</v>
      </c>
    </row>
    <row r="153" spans="1:1" ht="18" x14ac:dyDescent="0.25">
      <c r="A153" s="838" t="s">
        <v>7338</v>
      </c>
    </row>
    <row r="154" spans="1:1" x14ac:dyDescent="0.2">
      <c r="A154" s="734" t="s">
        <v>7246</v>
      </c>
    </row>
    <row r="156" spans="1:1" x14ac:dyDescent="0.2">
      <c r="A156" s="839" t="s">
        <v>7247</v>
      </c>
    </row>
    <row r="157" spans="1:1" x14ac:dyDescent="0.2">
      <c r="A157" s="842" t="s">
        <v>7339</v>
      </c>
    </row>
    <row r="158" spans="1:1" x14ac:dyDescent="0.2">
      <c r="A158" t="s">
        <v>7340</v>
      </c>
    </row>
    <row r="159" spans="1:1" x14ac:dyDescent="0.2">
      <c r="A159" t="s">
        <v>7341</v>
      </c>
    </row>
    <row r="161" spans="1:1" x14ac:dyDescent="0.2">
      <c r="A161" s="839" t="s">
        <v>7342</v>
      </c>
    </row>
    <row r="162" spans="1:1" x14ac:dyDescent="0.2">
      <c r="A162" s="842" t="s">
        <v>7343</v>
      </c>
    </row>
    <row r="163" spans="1:1" x14ac:dyDescent="0.2">
      <c r="A163" t="s">
        <v>7344</v>
      </c>
    </row>
    <row r="164" spans="1:1" x14ac:dyDescent="0.2">
      <c r="A164" t="s">
        <v>7345</v>
      </c>
    </row>
    <row r="166" spans="1:1" x14ac:dyDescent="0.2">
      <c r="A166" s="839" t="s">
        <v>7259</v>
      </c>
    </row>
    <row r="167" spans="1:1" x14ac:dyDescent="0.2">
      <c r="A167" t="s">
        <v>7346</v>
      </c>
    </row>
  </sheetData>
  <pageMargins left="0.7" right="0.7" top="0.75" bottom="0.75" header="0.3" footer="0.3"/>
  <legacyDrawing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FB0E9-E3EE-48A6-B4E2-E1ABE2BA1E53}">
  <dimension ref="A1:I187"/>
  <sheetViews>
    <sheetView workbookViewId="0">
      <pane ySplit="3" topLeftCell="A4" activePane="bottomLeft" state="frozen"/>
      <selection pane="bottomLeft" activeCell="N67" sqref="N67"/>
    </sheetView>
  </sheetViews>
  <sheetFormatPr defaultRowHeight="12.75" x14ac:dyDescent="0.2"/>
  <cols>
    <col min="1" max="1" width="137.140625" customWidth="1"/>
    <col min="2" max="2" width="26.7109375" customWidth="1"/>
    <col min="3" max="3" width="49.5703125" customWidth="1"/>
    <col min="4" max="4" width="17.140625" customWidth="1"/>
    <col min="5" max="5" width="49.5703125" customWidth="1"/>
    <col min="6" max="6" width="22.85546875" customWidth="1"/>
    <col min="7" max="7" width="38.140625" customWidth="1"/>
    <col min="8" max="8" width="15.28515625" customWidth="1"/>
    <col min="9" max="9" width="13.28515625" customWidth="1"/>
  </cols>
  <sheetData>
    <row r="1" spans="1:5" ht="18" x14ac:dyDescent="0.25">
      <c r="A1" s="470" t="s">
        <v>3519</v>
      </c>
    </row>
    <row r="2" spans="1:5" x14ac:dyDescent="0.2">
      <c r="A2" s="734" t="s">
        <v>3520</v>
      </c>
    </row>
    <row r="4" spans="1:5" ht="15" x14ac:dyDescent="0.25">
      <c r="A4" s="735" t="s">
        <v>1443</v>
      </c>
      <c r="B4" s="736"/>
      <c r="C4" s="736"/>
      <c r="D4" s="736"/>
      <c r="E4" s="736"/>
    </row>
    <row r="5" spans="1:5" x14ac:dyDescent="0.2">
      <c r="A5" s="472" t="s">
        <v>3431</v>
      </c>
      <c r="B5" s="475" t="s">
        <v>3521</v>
      </c>
      <c r="C5" s="475" t="s">
        <v>3522</v>
      </c>
      <c r="D5" s="734" t="s">
        <v>2</v>
      </c>
    </row>
    <row r="6" spans="1:5" x14ac:dyDescent="0.2">
      <c r="A6" t="s">
        <v>2266</v>
      </c>
      <c r="B6" s="565">
        <v>24.4</v>
      </c>
      <c r="C6" s="565">
        <v>23.6</v>
      </c>
      <c r="D6" t="s">
        <v>3523</v>
      </c>
    </row>
    <row r="7" spans="1:5" x14ac:dyDescent="0.2">
      <c r="A7" t="s">
        <v>1125</v>
      </c>
      <c r="B7" s="565">
        <v>19.7</v>
      </c>
      <c r="C7" s="565">
        <v>18.5</v>
      </c>
      <c r="D7" t="s">
        <v>3524</v>
      </c>
    </row>
    <row r="8" spans="1:5" x14ac:dyDescent="0.2">
      <c r="A8" t="s">
        <v>3525</v>
      </c>
      <c r="B8" s="565">
        <v>14.2</v>
      </c>
      <c r="C8" s="565">
        <v>13</v>
      </c>
      <c r="D8" t="s">
        <v>3526</v>
      </c>
    </row>
    <row r="9" spans="1:5" x14ac:dyDescent="0.2">
      <c r="A9" t="s">
        <v>3527</v>
      </c>
      <c r="B9" s="565">
        <v>7.9</v>
      </c>
      <c r="C9" s="565">
        <v>7.1</v>
      </c>
      <c r="D9" t="s">
        <v>3528</v>
      </c>
    </row>
    <row r="10" spans="1:5" x14ac:dyDescent="0.2">
      <c r="A10" t="s">
        <v>3529</v>
      </c>
      <c r="B10" s="565">
        <v>21</v>
      </c>
      <c r="C10" s="565">
        <v>15</v>
      </c>
      <c r="D10" t="s">
        <v>3530</v>
      </c>
    </row>
    <row r="11" spans="1:5" x14ac:dyDescent="0.2">
      <c r="A11" t="s">
        <v>3531</v>
      </c>
      <c r="B11" s="565">
        <v>2.8</v>
      </c>
      <c r="C11" s="565">
        <v>2.8</v>
      </c>
      <c r="D11" t="s">
        <v>3532</v>
      </c>
    </row>
    <row r="12" spans="1:5" x14ac:dyDescent="0.2">
      <c r="A12" t="s">
        <v>3533</v>
      </c>
      <c r="B12" s="482">
        <f>PI()*B9/B10</f>
        <v>1.1818372363504461</v>
      </c>
      <c r="C12" s="482">
        <f>PI()*C9/C10</f>
        <v>1.4870205226991686</v>
      </c>
      <c r="D12" t="s">
        <v>3534</v>
      </c>
    </row>
    <row r="13" spans="1:5" x14ac:dyDescent="0.2">
      <c r="A13" t="s">
        <v>3535</v>
      </c>
      <c r="B13" s="565">
        <v>29.5</v>
      </c>
      <c r="C13" s="565">
        <v>27.6</v>
      </c>
      <c r="D13" t="s">
        <v>3536</v>
      </c>
    </row>
    <row r="14" spans="1:5" x14ac:dyDescent="0.2">
      <c r="A14" t="s">
        <v>3435</v>
      </c>
      <c r="B14" s="565">
        <v>11</v>
      </c>
      <c r="C14" s="565">
        <v>15</v>
      </c>
      <c r="D14" t="s">
        <v>3537</v>
      </c>
    </row>
    <row r="15" spans="1:5" x14ac:dyDescent="0.2">
      <c r="A15" t="s">
        <v>3538</v>
      </c>
      <c r="B15" s="564" t="s">
        <v>3539</v>
      </c>
      <c r="C15" s="564" t="s">
        <v>3540</v>
      </c>
      <c r="D15" t="s">
        <v>3541</v>
      </c>
    </row>
    <row r="16" spans="1:5" x14ac:dyDescent="0.2">
      <c r="A16" t="s">
        <v>1444</v>
      </c>
      <c r="B16" s="564" t="s">
        <v>2568</v>
      </c>
      <c r="C16" s="564" t="s">
        <v>2568</v>
      </c>
      <c r="D16" t="s">
        <v>3542</v>
      </c>
    </row>
    <row r="17" spans="1:5" x14ac:dyDescent="0.2">
      <c r="A17" t="s">
        <v>3543</v>
      </c>
      <c r="B17" s="564" t="s">
        <v>3544</v>
      </c>
      <c r="C17" s="564" t="s">
        <v>3545</v>
      </c>
      <c r="D17" t="s">
        <v>3546</v>
      </c>
    </row>
    <row r="18" spans="1:5" x14ac:dyDescent="0.2">
      <c r="A18" t="s">
        <v>1940</v>
      </c>
      <c r="B18" s="701">
        <v>4.1549999999999997E-2</v>
      </c>
    </row>
    <row r="19" spans="1:5" x14ac:dyDescent="0.2">
      <c r="A19" t="s">
        <v>1941</v>
      </c>
      <c r="B19" s="565">
        <v>2.5</v>
      </c>
    </row>
    <row r="20" spans="1:5" x14ac:dyDescent="0.2">
      <c r="A20" t="s">
        <v>3439</v>
      </c>
      <c r="B20" s="679">
        <v>44600</v>
      </c>
    </row>
    <row r="21" spans="1:5" x14ac:dyDescent="0.2">
      <c r="A21" t="s">
        <v>3547</v>
      </c>
      <c r="B21" s="565">
        <v>4.5</v>
      </c>
      <c r="C21" s="565">
        <v>4</v>
      </c>
      <c r="D21" t="s">
        <v>3548</v>
      </c>
    </row>
    <row r="23" spans="1:5" ht="15" x14ac:dyDescent="0.25">
      <c r="A23" s="738" t="s">
        <v>3549</v>
      </c>
      <c r="B23" s="739"/>
      <c r="C23" s="739"/>
      <c r="D23" s="739"/>
      <c r="E23" s="739"/>
    </row>
    <row r="24" spans="1:5" x14ac:dyDescent="0.2">
      <c r="A24" t="s">
        <v>3550</v>
      </c>
      <c r="B24" s="481">
        <f>B9/2</f>
        <v>3.95</v>
      </c>
      <c r="C24" s="481">
        <f>C9/2</f>
        <v>3.55</v>
      </c>
      <c r="D24" t="s">
        <v>3551</v>
      </c>
    </row>
    <row r="25" spans="1:5" x14ac:dyDescent="0.2">
      <c r="A25" t="s">
        <v>3552</v>
      </c>
      <c r="B25" s="481">
        <f>B8/2</f>
        <v>7.1</v>
      </c>
      <c r="C25" s="481">
        <f>C8/2</f>
        <v>6.5</v>
      </c>
      <c r="D25" t="s">
        <v>3553</v>
      </c>
    </row>
    <row r="26" spans="1:5" x14ac:dyDescent="0.2">
      <c r="A26" t="s">
        <v>3554</v>
      </c>
      <c r="B26" s="540">
        <f>ROUND(B11/25.4*60,0)</f>
        <v>7</v>
      </c>
      <c r="C26" s="540">
        <f>ROUND(C11/25.4*60,0)</f>
        <v>7</v>
      </c>
      <c r="D26" s="759" t="s">
        <v>3555</v>
      </c>
    </row>
    <row r="27" spans="1:5" x14ac:dyDescent="0.2">
      <c r="A27" t="s">
        <v>3556</v>
      </c>
      <c r="B27" s="565">
        <v>3</v>
      </c>
      <c r="D27" t="s">
        <v>3557</v>
      </c>
    </row>
    <row r="28" spans="1:5" x14ac:dyDescent="0.2">
      <c r="A28" t="s">
        <v>3558</v>
      </c>
      <c r="B28" t="str">
        <f>IF(B24&gt;=B27,"✓ OK","⚠️ Too tight!")</f>
        <v>✓ OK</v>
      </c>
      <c r="C28" t="str">
        <f>IF(C24&gt;=B27,"✓ OK","⚠️ Too tight!")</f>
        <v>✓ OK</v>
      </c>
      <c r="D28" t="s">
        <v>3559</v>
      </c>
    </row>
    <row r="30" spans="1:5" x14ac:dyDescent="0.2">
      <c r="A30" t="s">
        <v>3560</v>
      </c>
    </row>
    <row r="31" spans="1:5" x14ac:dyDescent="0.2">
      <c r="A31" t="s">
        <v>3561</v>
      </c>
      <c r="B31" t="s">
        <v>3562</v>
      </c>
      <c r="D31" t="s">
        <v>3563</v>
      </c>
    </row>
    <row r="32" spans="1:5" x14ac:dyDescent="0.2">
      <c r="A32" t="s">
        <v>3564</v>
      </c>
      <c r="B32" t="s">
        <v>3565</v>
      </c>
      <c r="D32" t="s">
        <v>3566</v>
      </c>
    </row>
    <row r="33" spans="1:9" x14ac:dyDescent="0.2">
      <c r="A33" t="s">
        <v>3567</v>
      </c>
      <c r="B33" t="s">
        <v>3568</v>
      </c>
      <c r="D33" t="s">
        <v>3569</v>
      </c>
    </row>
    <row r="34" spans="1:9" x14ac:dyDescent="0.2">
      <c r="A34" t="s">
        <v>3570</v>
      </c>
      <c r="B34" t="s">
        <v>3571</v>
      </c>
      <c r="D34" t="s">
        <v>3572</v>
      </c>
    </row>
    <row r="36" spans="1:9" x14ac:dyDescent="0.2">
      <c r="A36" s="472" t="s">
        <v>3573</v>
      </c>
    </row>
    <row r="37" spans="1:9" x14ac:dyDescent="0.2">
      <c r="A37" s="475" t="s">
        <v>3574</v>
      </c>
      <c r="B37" s="475" t="s">
        <v>3575</v>
      </c>
      <c r="C37" s="475" t="s">
        <v>3576</v>
      </c>
      <c r="D37" s="475" t="s">
        <v>2</v>
      </c>
    </row>
    <row r="38" spans="1:9" x14ac:dyDescent="0.2">
      <c r="A38" t="s">
        <v>386</v>
      </c>
      <c r="B38" s="565">
        <v>2.5</v>
      </c>
      <c r="C38" t="s">
        <v>1250</v>
      </c>
      <c r="D38" t="s">
        <v>3577</v>
      </c>
    </row>
    <row r="39" spans="1:9" x14ac:dyDescent="0.2">
      <c r="A39" t="s">
        <v>358</v>
      </c>
      <c r="B39" s="565">
        <v>2</v>
      </c>
      <c r="C39" t="s">
        <v>1250</v>
      </c>
      <c r="D39" t="s">
        <v>3578</v>
      </c>
    </row>
    <row r="40" spans="1:9" x14ac:dyDescent="0.2">
      <c r="A40" t="s">
        <v>3579</v>
      </c>
      <c r="B40" s="565">
        <v>2</v>
      </c>
      <c r="C40" t="s">
        <v>1250</v>
      </c>
      <c r="D40" t="s">
        <v>3580</v>
      </c>
    </row>
    <row r="41" spans="1:9" x14ac:dyDescent="0.2">
      <c r="A41" t="s">
        <v>398</v>
      </c>
      <c r="B41" s="565">
        <v>3</v>
      </c>
      <c r="C41" t="s">
        <v>1254</v>
      </c>
      <c r="D41" t="s">
        <v>3581</v>
      </c>
    </row>
    <row r="42" spans="1:9" x14ac:dyDescent="0.2">
      <c r="A42" t="s">
        <v>378</v>
      </c>
      <c r="B42" s="565">
        <v>3.5</v>
      </c>
      <c r="C42" t="s">
        <v>1257</v>
      </c>
      <c r="D42" t="s">
        <v>3582</v>
      </c>
    </row>
    <row r="43" spans="1:9" x14ac:dyDescent="0.2">
      <c r="A43" t="s">
        <v>464</v>
      </c>
      <c r="B43" s="565">
        <v>3</v>
      </c>
      <c r="C43" t="s">
        <v>1254</v>
      </c>
      <c r="D43" t="s">
        <v>3583</v>
      </c>
    </row>
    <row r="44" spans="1:9" x14ac:dyDescent="0.2">
      <c r="A44" t="s">
        <v>3584</v>
      </c>
      <c r="B44" s="565">
        <v>4</v>
      </c>
      <c r="C44" t="s">
        <v>3585</v>
      </c>
      <c r="D44" t="s">
        <v>3586</v>
      </c>
    </row>
    <row r="45" spans="1:9" x14ac:dyDescent="0.2">
      <c r="A45" t="s">
        <v>1248</v>
      </c>
      <c r="B45" s="565">
        <v>3.5</v>
      </c>
      <c r="C45" t="s">
        <v>1257</v>
      </c>
      <c r="D45" t="s">
        <v>3587</v>
      </c>
    </row>
    <row r="47" spans="1:9" ht="15" x14ac:dyDescent="0.25">
      <c r="A47" s="743" t="s">
        <v>3588</v>
      </c>
      <c r="B47" s="744"/>
      <c r="C47" s="744"/>
      <c r="D47" s="744"/>
      <c r="E47" s="744"/>
      <c r="F47" s="744"/>
      <c r="G47" s="744"/>
      <c r="H47" s="744"/>
      <c r="I47" s="744"/>
    </row>
    <row r="48" spans="1:9" x14ac:dyDescent="0.2">
      <c r="A48" s="475" t="s">
        <v>3589</v>
      </c>
      <c r="B48" s="475" t="s">
        <v>785</v>
      </c>
      <c r="C48" s="475" t="s">
        <v>1272</v>
      </c>
      <c r="D48" s="475" t="s">
        <v>1368</v>
      </c>
      <c r="E48" s="475" t="s">
        <v>1824</v>
      </c>
      <c r="F48" s="475" t="s">
        <v>1188</v>
      </c>
      <c r="G48" s="475" t="s">
        <v>1947</v>
      </c>
      <c r="H48" s="475" t="s">
        <v>1949</v>
      </c>
      <c r="I48" s="475" t="s">
        <v>3451</v>
      </c>
    </row>
    <row r="49" spans="1:9" x14ac:dyDescent="0.2">
      <c r="A49" t="s">
        <v>3590</v>
      </c>
      <c r="B49" t="s">
        <v>32</v>
      </c>
      <c r="C49">
        <v>72</v>
      </c>
      <c r="D49" s="481">
        <f>440*2^((C49-69)/12)</f>
        <v>523.25113060119725</v>
      </c>
      <c r="E49">
        <v>2</v>
      </c>
      <c r="F49" t="str">
        <f>IF(C49&lt;55,"Wound","Nylon")</f>
        <v>Nylon</v>
      </c>
      <c r="G49" s="648">
        <f>2*SQRT($B$21*386.4/(IF(C49&lt;55,$B$18*$B$19,$B$18)*PI()*4*$B$6^2*D49^2))</f>
        <v>9.0399153471203905E-3</v>
      </c>
      <c r="H49" s="755">
        <f>IF(C49&lt;55,$B$18*$B$19,$B$18)*4*$B$6^2*D49^2/($B$20*386.4)</f>
        <v>1.5720235452599689</v>
      </c>
      <c r="I49" t="str">
        <f>IF(H49&gt;0.8,"⚠️ High","OK")</f>
        <v>⚠️ High</v>
      </c>
    </row>
    <row r="50" spans="1:9" x14ac:dyDescent="0.2">
      <c r="A50">
        <v>2</v>
      </c>
      <c r="B50" t="s">
        <v>27</v>
      </c>
      <c r="C50">
        <v>67</v>
      </c>
      <c r="D50" s="481">
        <f t="shared" ref="D50:D54" si="0">440*2^((C50-69)/12)</f>
        <v>391.99543598174927</v>
      </c>
      <c r="E50">
        <v>2</v>
      </c>
      <c r="F50" t="str">
        <f t="shared" ref="F50:F54" si="1">IF(C50&lt;55,"Wound","Nylon")</f>
        <v>Nylon</v>
      </c>
      <c r="G50" s="648">
        <f t="shared" ref="G50:G54" si="2">2*SQRT($B$21*386.4/(IF(C50&lt;55,$B$18*$B$19,$B$18)*PI()*4*$B$6^2*D50^2))</f>
        <v>1.2066839283659637E-2</v>
      </c>
      <c r="H50" s="755">
        <f>IF(C50&lt;55,$B$18*$B$19,$B$18)*4*$B$6^2*D50^2/($B$20*386.4)</f>
        <v>0.88226838430153354</v>
      </c>
      <c r="I50" t="str">
        <f t="shared" ref="I50:I54" si="3">IF(H50&gt;0.8,"⚠️ High","OK")</f>
        <v>⚠️ High</v>
      </c>
    </row>
    <row r="51" spans="1:9" x14ac:dyDescent="0.2">
      <c r="A51">
        <v>3</v>
      </c>
      <c r="B51" t="s">
        <v>24</v>
      </c>
      <c r="C51">
        <v>62</v>
      </c>
      <c r="D51" s="481">
        <f t="shared" si="0"/>
        <v>293.66476791740757</v>
      </c>
      <c r="E51">
        <v>2</v>
      </c>
      <c r="F51" t="str">
        <f t="shared" si="1"/>
        <v>Nylon</v>
      </c>
      <c r="G51" s="648">
        <f t="shared" si="2"/>
        <v>1.6107297989693473E-2</v>
      </c>
      <c r="H51" s="702">
        <f t="shared" ref="H51:H54" si="4">IF(C51&lt;55,$B$18*$B$19,$B$18)*4*$B$6^2*D51^2/($B$20*386.4)</f>
        <v>0.49515638890085029</v>
      </c>
      <c r="I51" t="str">
        <f t="shared" si="3"/>
        <v>OK</v>
      </c>
    </row>
    <row r="52" spans="1:9" x14ac:dyDescent="0.2">
      <c r="A52">
        <v>4</v>
      </c>
      <c r="B52" t="s">
        <v>500</v>
      </c>
      <c r="C52">
        <v>57</v>
      </c>
      <c r="D52" s="481">
        <f t="shared" si="0"/>
        <v>220</v>
      </c>
      <c r="E52">
        <v>2</v>
      </c>
      <c r="F52" t="str">
        <f t="shared" si="1"/>
        <v>Nylon</v>
      </c>
      <c r="G52" s="648">
        <f t="shared" si="2"/>
        <v>2.1500663299635722E-2</v>
      </c>
      <c r="H52" s="702">
        <f t="shared" si="4"/>
        <v>0.27789712725956045</v>
      </c>
      <c r="I52" t="str">
        <f t="shared" si="3"/>
        <v>OK</v>
      </c>
    </row>
    <row r="53" spans="1:9" x14ac:dyDescent="0.2">
      <c r="A53">
        <v>5</v>
      </c>
      <c r="B53" t="s">
        <v>1279</v>
      </c>
      <c r="C53">
        <v>52</v>
      </c>
      <c r="D53" s="481">
        <f t="shared" si="0"/>
        <v>164.81377845643496</v>
      </c>
      <c r="E53">
        <v>2</v>
      </c>
      <c r="F53" t="str">
        <f t="shared" si="1"/>
        <v>Wound</v>
      </c>
      <c r="G53" s="648">
        <f t="shared" si="2"/>
        <v>1.8151437253562733E-2</v>
      </c>
      <c r="H53" s="702">
        <f t="shared" si="4"/>
        <v>0.38991122335382083</v>
      </c>
      <c r="I53" t="str">
        <f t="shared" si="3"/>
        <v>OK</v>
      </c>
    </row>
    <row r="54" spans="1:9" x14ac:dyDescent="0.2">
      <c r="A54" t="s">
        <v>3591</v>
      </c>
      <c r="B54" t="s">
        <v>1002</v>
      </c>
      <c r="C54">
        <v>47</v>
      </c>
      <c r="D54" s="481">
        <f t="shared" si="0"/>
        <v>123.47082531403106</v>
      </c>
      <c r="E54">
        <v>2</v>
      </c>
      <c r="F54" t="str">
        <f t="shared" si="1"/>
        <v>Wound</v>
      </c>
      <c r="G54" s="648">
        <f t="shared" si="2"/>
        <v>2.4229261856522202E-2</v>
      </c>
      <c r="H54" s="702">
        <f t="shared" si="4"/>
        <v>0.21883027521227172</v>
      </c>
      <c r="I54" t="str">
        <f t="shared" si="3"/>
        <v>OK</v>
      </c>
    </row>
    <row r="55" spans="1:9" x14ac:dyDescent="0.2">
      <c r="A55" s="760"/>
    </row>
    <row r="56" spans="1:9" x14ac:dyDescent="0.2">
      <c r="A56" s="760" t="s">
        <v>3592</v>
      </c>
    </row>
    <row r="58" spans="1:9" ht="15" x14ac:dyDescent="0.25">
      <c r="A58" s="743" t="s">
        <v>3593</v>
      </c>
      <c r="B58" s="744"/>
      <c r="C58" s="744"/>
      <c r="D58" s="744"/>
      <c r="E58" s="744"/>
      <c r="F58" s="744"/>
      <c r="G58" s="744"/>
      <c r="H58" s="744"/>
      <c r="I58" s="744"/>
    </row>
    <row r="59" spans="1:9" x14ac:dyDescent="0.2">
      <c r="A59" s="475" t="s">
        <v>3589</v>
      </c>
      <c r="B59" s="475" t="s">
        <v>785</v>
      </c>
      <c r="C59" s="475" t="s">
        <v>1272</v>
      </c>
      <c r="D59" s="475" t="s">
        <v>1368</v>
      </c>
      <c r="E59" s="475" t="s">
        <v>1824</v>
      </c>
      <c r="F59" s="475" t="s">
        <v>1188</v>
      </c>
      <c r="G59" s="475" t="s">
        <v>1947</v>
      </c>
      <c r="H59" s="475" t="s">
        <v>1949</v>
      </c>
      <c r="I59" s="475" t="s">
        <v>3451</v>
      </c>
    </row>
    <row r="60" spans="1:9" x14ac:dyDescent="0.2">
      <c r="A60" t="s">
        <v>3590</v>
      </c>
      <c r="B60" t="s">
        <v>27</v>
      </c>
      <c r="C60">
        <v>67</v>
      </c>
      <c r="D60" s="481">
        <f>440*2^((C60-69)/12)</f>
        <v>391.99543598174927</v>
      </c>
      <c r="E60">
        <v>1</v>
      </c>
      <c r="F60" t="str">
        <f>IF(C60&lt;52,"Wound","Nylon")</f>
        <v>Nylon</v>
      </c>
      <c r="G60" s="648">
        <f>2*SQRT($C$21*386.4/(IF(C60&lt;52,$B$18*$B$19,$B$18)*PI()*4*$C$6^2*D60^2))</f>
        <v>1.1762376880967252E-2</v>
      </c>
      <c r="H60" s="761">
        <f>IF(C60&lt;52,$B$18*$B$19,$B$18)*4*$C$6^2*D60^2/($B$20*386.4)</f>
        <v>0.82536314048740622</v>
      </c>
      <c r="I60" t="str">
        <f>IF(H60&gt;0.8,"⚠️ High","OK")</f>
        <v>⚠️ High</v>
      </c>
    </row>
    <row r="61" spans="1:9" x14ac:dyDescent="0.2">
      <c r="A61">
        <v>2</v>
      </c>
      <c r="B61" t="s">
        <v>24</v>
      </c>
      <c r="C61">
        <v>62</v>
      </c>
      <c r="D61" s="481">
        <f t="shared" ref="D61:D67" si="5">440*2^((C61-69)/12)</f>
        <v>293.66476791740757</v>
      </c>
      <c r="E61">
        <v>1</v>
      </c>
      <c r="F61" t="str">
        <f t="shared" ref="F61:F67" si="6">IF(C61&lt;52,"Wound","Nylon")</f>
        <v>Nylon</v>
      </c>
      <c r="G61" s="648">
        <f t="shared" ref="G61:G67" si="7">2*SQRT($C$21*386.4/(IF(C61&lt;52,$B$18*$B$19,$B$18)*PI()*4*$C$6^2*D61^2))</f>
        <v>1.5700889440483309E-2</v>
      </c>
      <c r="H61" s="702">
        <f t="shared" ref="H61:H67" si="8">IF(C61&lt;52,$B$18*$B$19,$B$18)*4*$C$6^2*D61^2/($B$20*386.4)</f>
        <v>0.4632194006352755</v>
      </c>
      <c r="I61" t="str">
        <f t="shared" ref="I61:I67" si="9">IF(H61&gt;0.8,"⚠️ High","OK")</f>
        <v>OK</v>
      </c>
    </row>
    <row r="62" spans="1:9" x14ac:dyDescent="0.2">
      <c r="A62">
        <v>3</v>
      </c>
      <c r="B62" t="s">
        <v>500</v>
      </c>
      <c r="C62">
        <v>57</v>
      </c>
      <c r="D62" s="481">
        <f t="shared" si="5"/>
        <v>220</v>
      </c>
      <c r="E62">
        <v>1</v>
      </c>
      <c r="F62" t="str">
        <f t="shared" si="6"/>
        <v>Nylon</v>
      </c>
      <c r="G62" s="648">
        <f t="shared" si="7"/>
        <v>2.0958172971074572E-2</v>
      </c>
      <c r="H62" s="702">
        <f t="shared" si="8"/>
        <v>0.25997309862685569</v>
      </c>
      <c r="I62" t="str">
        <f t="shared" si="9"/>
        <v>OK</v>
      </c>
    </row>
    <row r="63" spans="1:9" x14ac:dyDescent="0.2">
      <c r="A63">
        <v>4</v>
      </c>
      <c r="B63" t="s">
        <v>1279</v>
      </c>
      <c r="C63">
        <v>52</v>
      </c>
      <c r="D63" s="481">
        <f t="shared" si="5"/>
        <v>164.81377845643496</v>
      </c>
      <c r="E63">
        <v>1</v>
      </c>
      <c r="F63" t="str">
        <f t="shared" si="6"/>
        <v>Nylon</v>
      </c>
      <c r="G63" s="648">
        <f t="shared" si="7"/>
        <v>2.7975804552379541E-2</v>
      </c>
      <c r="H63" s="702">
        <f t="shared" si="8"/>
        <v>0.14590496839501754</v>
      </c>
      <c r="I63" t="str">
        <f t="shared" si="9"/>
        <v>OK</v>
      </c>
    </row>
    <row r="64" spans="1:9" x14ac:dyDescent="0.2">
      <c r="A64">
        <v>5</v>
      </c>
      <c r="B64" t="s">
        <v>1002</v>
      </c>
      <c r="C64">
        <v>47</v>
      </c>
      <c r="D64" s="481">
        <f t="shared" si="5"/>
        <v>123.47082531403106</v>
      </c>
      <c r="E64">
        <v>1</v>
      </c>
      <c r="F64" t="str">
        <f t="shared" si="6"/>
        <v>Wound</v>
      </c>
      <c r="G64" s="648">
        <f t="shared" si="7"/>
        <v>2.3617925357635607E-2</v>
      </c>
      <c r="H64" s="702">
        <f t="shared" si="8"/>
        <v>0.20471598710398226</v>
      </c>
      <c r="I64" t="str">
        <f t="shared" si="9"/>
        <v>OK</v>
      </c>
    </row>
    <row r="65" spans="1:9" x14ac:dyDescent="0.2">
      <c r="A65">
        <v>6</v>
      </c>
      <c r="B65" t="s">
        <v>997</v>
      </c>
      <c r="C65">
        <v>43</v>
      </c>
      <c r="D65" s="481">
        <f t="shared" si="5"/>
        <v>97.998858995437345</v>
      </c>
      <c r="E65">
        <v>1</v>
      </c>
      <c r="F65" t="str">
        <f t="shared" si="6"/>
        <v>Wound</v>
      </c>
      <c r="G65" s="648">
        <f t="shared" si="7"/>
        <v>2.9756721312931004E-2</v>
      </c>
      <c r="H65" s="702">
        <f t="shared" si="8"/>
        <v>0.1289629907011573</v>
      </c>
      <c r="I65" t="str">
        <f t="shared" si="9"/>
        <v>OK</v>
      </c>
    </row>
    <row r="66" spans="1:9" x14ac:dyDescent="0.2">
      <c r="A66" t="s">
        <v>3594</v>
      </c>
      <c r="B66" t="s">
        <v>996</v>
      </c>
      <c r="C66">
        <v>41</v>
      </c>
      <c r="D66" s="481">
        <f t="shared" si="5"/>
        <v>87.307057858250957</v>
      </c>
      <c r="E66">
        <v>1</v>
      </c>
      <c r="F66" t="str">
        <f t="shared" si="6"/>
        <v>Wound</v>
      </c>
      <c r="G66" s="648">
        <f t="shared" si="7"/>
        <v>3.3400790355883718E-2</v>
      </c>
      <c r="H66" s="702">
        <f t="shared" si="8"/>
        <v>0.10235799355199104</v>
      </c>
      <c r="I66" t="str">
        <f t="shared" si="9"/>
        <v>OK</v>
      </c>
    </row>
    <row r="67" spans="1:9" x14ac:dyDescent="0.2">
      <c r="A67" t="s">
        <v>3595</v>
      </c>
      <c r="B67" t="s">
        <v>2359</v>
      </c>
      <c r="C67">
        <v>38</v>
      </c>
      <c r="D67" s="481">
        <f t="shared" si="5"/>
        <v>73.416191979351879</v>
      </c>
      <c r="E67">
        <v>1</v>
      </c>
      <c r="F67" t="str">
        <f t="shared" si="6"/>
        <v>Wound</v>
      </c>
      <c r="G67" s="648">
        <f t="shared" si="7"/>
        <v>3.9720457537931186E-2</v>
      </c>
      <c r="H67" s="702">
        <f t="shared" si="8"/>
        <v>7.2378031349261768E-2</v>
      </c>
      <c r="I67" t="str">
        <f t="shared" si="9"/>
        <v>OK</v>
      </c>
    </row>
    <row r="69" spans="1:9" ht="15" x14ac:dyDescent="0.25">
      <c r="A69" s="747" t="s">
        <v>3596</v>
      </c>
      <c r="B69" s="748"/>
      <c r="C69" s="748"/>
      <c r="D69" s="748"/>
      <c r="E69" s="748"/>
    </row>
    <row r="70" spans="1:9" x14ac:dyDescent="0.2">
      <c r="A70" s="475" t="s">
        <v>3597</v>
      </c>
      <c r="B70" s="475" t="s">
        <v>3598</v>
      </c>
      <c r="C70" s="475" t="s">
        <v>3599</v>
      </c>
      <c r="D70" s="475" t="s">
        <v>3600</v>
      </c>
      <c r="E70" s="475" t="s">
        <v>3601</v>
      </c>
    </row>
    <row r="71" spans="1:9" x14ac:dyDescent="0.2">
      <c r="A71">
        <v>0</v>
      </c>
      <c r="B71" t="s">
        <v>3602</v>
      </c>
      <c r="C71" s="482">
        <v>0</v>
      </c>
      <c r="E71" t="s">
        <v>27</v>
      </c>
    </row>
    <row r="72" spans="1:9" x14ac:dyDescent="0.2">
      <c r="A72">
        <v>1</v>
      </c>
      <c r="B72" t="s">
        <v>3603</v>
      </c>
      <c r="C72" s="482">
        <f>$C$6*(1-1/2^(A72/12))</f>
        <v>1.3245662207120354</v>
      </c>
      <c r="D72" s="482">
        <f>C72-C71</f>
        <v>1.3245662207120354</v>
      </c>
      <c r="E72" t="s">
        <v>28</v>
      </c>
    </row>
    <row r="73" spans="1:9" x14ac:dyDescent="0.2">
      <c r="A73">
        <v>2</v>
      </c>
      <c r="B73" t="s">
        <v>3604</v>
      </c>
      <c r="C73" s="482">
        <f t="shared" ref="C73:C79" si="10">$C$6*(1-1/2^(A73/12))</f>
        <v>2.5747902518879933</v>
      </c>
      <c r="D73" s="482">
        <f t="shared" ref="D73:D79" si="11">C73-C72</f>
        <v>1.2502240311759578</v>
      </c>
      <c r="E73" t="s">
        <v>29</v>
      </c>
    </row>
    <row r="74" spans="1:9" x14ac:dyDescent="0.2">
      <c r="A74">
        <v>3</v>
      </c>
      <c r="B74" t="s">
        <v>3605</v>
      </c>
      <c r="C74" s="482">
        <f t="shared" si="10"/>
        <v>3.7548446000123352</v>
      </c>
      <c r="D74" s="482">
        <f t="shared" si="11"/>
        <v>1.180054348124342</v>
      </c>
      <c r="E74" t="s">
        <v>30</v>
      </c>
    </row>
    <row r="75" spans="1:9" x14ac:dyDescent="0.2">
      <c r="A75">
        <v>4</v>
      </c>
      <c r="B75" t="s">
        <v>3606</v>
      </c>
      <c r="C75" s="482">
        <f t="shared" si="10"/>
        <v>4.8686675867752482</v>
      </c>
      <c r="D75" s="482">
        <f t="shared" si="11"/>
        <v>1.113822986762913</v>
      </c>
      <c r="E75" t="s">
        <v>31</v>
      </c>
    </row>
    <row r="76" spans="1:9" x14ac:dyDescent="0.2">
      <c r="A76">
        <v>5</v>
      </c>
      <c r="B76" t="s">
        <v>3607</v>
      </c>
      <c r="C76" s="482">
        <f t="shared" si="10"/>
        <v>5.9199764928551586</v>
      </c>
      <c r="D76" s="482">
        <f t="shared" si="11"/>
        <v>1.0513089060799103</v>
      </c>
      <c r="E76" t="s">
        <v>32</v>
      </c>
    </row>
    <row r="77" spans="1:9" x14ac:dyDescent="0.2">
      <c r="A77">
        <v>6</v>
      </c>
      <c r="B77" t="s">
        <v>3608</v>
      </c>
      <c r="C77" s="482">
        <f t="shared" si="10"/>
        <v>6.9122799639974799</v>
      </c>
      <c r="D77" s="482">
        <f t="shared" si="11"/>
        <v>0.99230347114232131</v>
      </c>
      <c r="E77" t="s">
        <v>33</v>
      </c>
    </row>
    <row r="78" spans="1:9" x14ac:dyDescent="0.2">
      <c r="A78">
        <v>7</v>
      </c>
      <c r="B78" t="s">
        <v>3609</v>
      </c>
      <c r="C78" s="482">
        <f t="shared" si="10"/>
        <v>7.8488897207935953</v>
      </c>
      <c r="D78" s="482">
        <f t="shared" si="11"/>
        <v>0.93660975679611536</v>
      </c>
      <c r="E78" t="s">
        <v>34</v>
      </c>
    </row>
    <row r="79" spans="1:9" x14ac:dyDescent="0.2">
      <c r="A79">
        <v>8</v>
      </c>
      <c r="B79" t="s">
        <v>3610</v>
      </c>
      <c r="C79" s="482">
        <f t="shared" si="10"/>
        <v>8.7329316112404971</v>
      </c>
      <c r="D79" s="482">
        <f t="shared" si="11"/>
        <v>0.88404189044690185</v>
      </c>
      <c r="E79" t="s">
        <v>40</v>
      </c>
    </row>
    <row r="81" spans="1:7" ht="15" x14ac:dyDescent="0.25">
      <c r="A81" s="749" t="s">
        <v>3611</v>
      </c>
      <c r="B81" s="750"/>
      <c r="C81" s="750"/>
      <c r="D81" s="750"/>
      <c r="E81" s="750"/>
      <c r="F81" s="750"/>
      <c r="G81" s="750"/>
    </row>
    <row r="82" spans="1:7" x14ac:dyDescent="0.2">
      <c r="A82" s="475" t="s">
        <v>610</v>
      </c>
      <c r="B82" s="475" t="s">
        <v>1544</v>
      </c>
      <c r="C82" s="475" t="s">
        <v>1545</v>
      </c>
      <c r="D82" s="475" t="s">
        <v>1546</v>
      </c>
      <c r="E82" s="475" t="s">
        <v>1547</v>
      </c>
      <c r="F82" s="475" t="s">
        <v>1188</v>
      </c>
      <c r="G82" s="475" t="s">
        <v>2</v>
      </c>
    </row>
    <row r="83" spans="1:7" x14ac:dyDescent="0.2">
      <c r="A83">
        <v>1</v>
      </c>
      <c r="B83" t="s">
        <v>3262</v>
      </c>
      <c r="C83" t="s">
        <v>3612</v>
      </c>
      <c r="D83">
        <f>B10</f>
        <v>21</v>
      </c>
      <c r="E83" t="s">
        <v>3613</v>
      </c>
      <c r="F83" t="s">
        <v>2687</v>
      </c>
      <c r="G83" t="s">
        <v>3614</v>
      </c>
    </row>
    <row r="84" spans="1:7" x14ac:dyDescent="0.2">
      <c r="A84">
        <v>2</v>
      </c>
      <c r="B84" t="s">
        <v>3262</v>
      </c>
      <c r="C84" t="s">
        <v>3615</v>
      </c>
      <c r="D84">
        <v>1</v>
      </c>
      <c r="E84" t="s">
        <v>3616</v>
      </c>
      <c r="F84" t="s">
        <v>2030</v>
      </c>
      <c r="G84" t="s">
        <v>3617</v>
      </c>
    </row>
    <row r="85" spans="1:7" x14ac:dyDescent="0.2">
      <c r="A85">
        <v>3</v>
      </c>
      <c r="B85" t="s">
        <v>3262</v>
      </c>
      <c r="C85" t="s">
        <v>3618</v>
      </c>
      <c r="D85">
        <v>1</v>
      </c>
      <c r="E85" t="s">
        <v>3619</v>
      </c>
      <c r="F85" t="s">
        <v>2030</v>
      </c>
      <c r="G85" t="s">
        <v>3620</v>
      </c>
    </row>
    <row r="86" spans="1:7" x14ac:dyDescent="0.2">
      <c r="A86">
        <v>4</v>
      </c>
      <c r="B86" t="s">
        <v>3262</v>
      </c>
      <c r="C86" t="s">
        <v>3621</v>
      </c>
      <c r="D86" s="481">
        <f>B10-1</f>
        <v>20</v>
      </c>
      <c r="E86" t="s">
        <v>3622</v>
      </c>
      <c r="F86" t="s">
        <v>3623</v>
      </c>
      <c r="G86" t="s">
        <v>3624</v>
      </c>
    </row>
    <row r="87" spans="1:7" x14ac:dyDescent="0.2">
      <c r="A87">
        <v>5</v>
      </c>
      <c r="B87" t="s">
        <v>1472</v>
      </c>
      <c r="C87" t="s">
        <v>3625</v>
      </c>
      <c r="D87">
        <v>1</v>
      </c>
      <c r="E87" t="s">
        <v>3626</v>
      </c>
      <c r="F87" t="s">
        <v>2568</v>
      </c>
      <c r="G87" t="s">
        <v>3627</v>
      </c>
    </row>
    <row r="88" spans="1:7" x14ac:dyDescent="0.2">
      <c r="A88">
        <v>6</v>
      </c>
      <c r="B88" t="s">
        <v>1472</v>
      </c>
      <c r="C88" t="s">
        <v>3628</v>
      </c>
      <c r="D88">
        <v>1</v>
      </c>
      <c r="E88" t="s">
        <v>3629</v>
      </c>
      <c r="F88" t="s">
        <v>3630</v>
      </c>
      <c r="G88" t="s">
        <v>3631</v>
      </c>
    </row>
    <row r="89" spans="1:7" x14ac:dyDescent="0.2">
      <c r="A89">
        <v>7</v>
      </c>
      <c r="B89" t="s">
        <v>1472</v>
      </c>
      <c r="C89" t="s">
        <v>3632</v>
      </c>
      <c r="D89">
        <v>5</v>
      </c>
      <c r="E89" t="s">
        <v>3633</v>
      </c>
      <c r="F89" t="s">
        <v>2568</v>
      </c>
      <c r="G89" t="s">
        <v>3634</v>
      </c>
    </row>
    <row r="90" spans="1:7" x14ac:dyDescent="0.2">
      <c r="A90">
        <v>8</v>
      </c>
      <c r="B90" t="s">
        <v>1894</v>
      </c>
      <c r="C90" t="s">
        <v>2456</v>
      </c>
      <c r="D90">
        <v>1</v>
      </c>
      <c r="E90" t="s">
        <v>2458</v>
      </c>
      <c r="F90" t="s">
        <v>618</v>
      </c>
      <c r="G90" t="s">
        <v>3635</v>
      </c>
    </row>
    <row r="91" spans="1:7" x14ac:dyDescent="0.2">
      <c r="A91">
        <v>9</v>
      </c>
      <c r="B91" t="s">
        <v>1894</v>
      </c>
      <c r="C91" t="s">
        <v>3636</v>
      </c>
      <c r="D91">
        <v>1</v>
      </c>
      <c r="E91" t="s">
        <v>3637</v>
      </c>
      <c r="F91" t="s">
        <v>618</v>
      </c>
      <c r="G91" t="s">
        <v>3638</v>
      </c>
    </row>
    <row r="92" spans="1:7" x14ac:dyDescent="0.2">
      <c r="A92">
        <v>10</v>
      </c>
      <c r="B92" t="s">
        <v>1557</v>
      </c>
      <c r="C92" t="s">
        <v>3639</v>
      </c>
      <c r="D92">
        <v>11</v>
      </c>
      <c r="E92" t="s">
        <v>3640</v>
      </c>
      <c r="F92" t="s">
        <v>2544</v>
      </c>
      <c r="G92" t="s">
        <v>3641</v>
      </c>
    </row>
    <row r="93" spans="1:7" x14ac:dyDescent="0.2">
      <c r="A93">
        <v>11</v>
      </c>
      <c r="B93" t="s">
        <v>1824</v>
      </c>
      <c r="C93" t="s">
        <v>3642</v>
      </c>
      <c r="D93">
        <v>11</v>
      </c>
      <c r="E93" t="s">
        <v>3643</v>
      </c>
      <c r="F93" t="s">
        <v>3644</v>
      </c>
      <c r="G93" t="s">
        <v>3645</v>
      </c>
    </row>
    <row r="94" spans="1:7" x14ac:dyDescent="0.2">
      <c r="A94">
        <v>12</v>
      </c>
      <c r="B94" t="s">
        <v>1557</v>
      </c>
      <c r="C94" t="s">
        <v>1558</v>
      </c>
      <c r="D94">
        <v>1</v>
      </c>
      <c r="E94" t="s">
        <v>3646</v>
      </c>
      <c r="F94" t="s">
        <v>3584</v>
      </c>
      <c r="G94" t="s">
        <v>3647</v>
      </c>
    </row>
    <row r="95" spans="1:7" x14ac:dyDescent="0.2">
      <c r="A95">
        <v>13</v>
      </c>
      <c r="B95" t="s">
        <v>1557</v>
      </c>
      <c r="C95" t="s">
        <v>1821</v>
      </c>
      <c r="D95">
        <v>1</v>
      </c>
      <c r="E95" t="s">
        <v>3648</v>
      </c>
      <c r="F95" t="s">
        <v>3649</v>
      </c>
      <c r="G95" t="s">
        <v>3650</v>
      </c>
    </row>
    <row r="96" spans="1:7" x14ac:dyDescent="0.2">
      <c r="A96">
        <v>14</v>
      </c>
      <c r="B96" t="s">
        <v>1613</v>
      </c>
      <c r="C96" t="s">
        <v>3481</v>
      </c>
      <c r="D96">
        <v>1</v>
      </c>
      <c r="E96" t="s">
        <v>3651</v>
      </c>
      <c r="F96" t="s">
        <v>2342</v>
      </c>
      <c r="G96" t="s">
        <v>3652</v>
      </c>
    </row>
    <row r="98" spans="1:7" ht="15" x14ac:dyDescent="0.25">
      <c r="A98" s="749" t="s">
        <v>1849</v>
      </c>
      <c r="B98" s="750"/>
      <c r="C98" s="750"/>
      <c r="D98" s="750"/>
      <c r="E98" s="750"/>
      <c r="F98" s="750"/>
      <c r="G98" s="750"/>
    </row>
    <row r="99" spans="1:7" x14ac:dyDescent="0.2">
      <c r="A99" s="475" t="s">
        <v>1622</v>
      </c>
      <c r="B99" s="475" t="s">
        <v>1623</v>
      </c>
      <c r="C99" s="475" t="s">
        <v>1624</v>
      </c>
      <c r="D99" s="475" t="s">
        <v>1484</v>
      </c>
      <c r="E99" s="475" t="s">
        <v>2</v>
      </c>
      <c r="F99" s="474"/>
      <c r="G99" s="475" t="s">
        <v>1628</v>
      </c>
    </row>
    <row r="100" spans="1:7" x14ac:dyDescent="0.2">
      <c r="A100">
        <v>1</v>
      </c>
      <c r="B100" t="s">
        <v>3653</v>
      </c>
      <c r="C100" t="s">
        <v>3654</v>
      </c>
      <c r="D100" t="s">
        <v>3655</v>
      </c>
      <c r="E100" t="s">
        <v>3656</v>
      </c>
    </row>
    <row r="101" spans="1:7" x14ac:dyDescent="0.2">
      <c r="A101">
        <v>2</v>
      </c>
      <c r="B101" t="s">
        <v>3653</v>
      </c>
      <c r="C101" t="s">
        <v>3657</v>
      </c>
      <c r="D101" t="s">
        <v>3658</v>
      </c>
      <c r="E101" t="s">
        <v>3659</v>
      </c>
    </row>
    <row r="102" spans="1:7" x14ac:dyDescent="0.2">
      <c r="A102">
        <v>3</v>
      </c>
      <c r="B102" t="s">
        <v>3660</v>
      </c>
      <c r="C102" t="s">
        <v>3661</v>
      </c>
      <c r="D102" t="s">
        <v>3662</v>
      </c>
      <c r="E102" t="s">
        <v>3663</v>
      </c>
    </row>
    <row r="103" spans="1:7" x14ac:dyDescent="0.2">
      <c r="A103">
        <v>4</v>
      </c>
      <c r="B103" t="s">
        <v>3660</v>
      </c>
      <c r="C103" t="s">
        <v>3664</v>
      </c>
      <c r="D103" t="s">
        <v>3665</v>
      </c>
      <c r="E103" t="s">
        <v>3666</v>
      </c>
    </row>
    <row r="104" spans="1:7" x14ac:dyDescent="0.2">
      <c r="A104">
        <v>5</v>
      </c>
      <c r="B104" t="s">
        <v>3262</v>
      </c>
      <c r="C104" t="s">
        <v>3667</v>
      </c>
      <c r="D104" t="s">
        <v>3668</v>
      </c>
      <c r="E104" t="s">
        <v>3669</v>
      </c>
    </row>
    <row r="105" spans="1:7" x14ac:dyDescent="0.2">
      <c r="A105">
        <v>6</v>
      </c>
      <c r="B105" t="s">
        <v>3262</v>
      </c>
      <c r="C105" t="s">
        <v>3670</v>
      </c>
      <c r="D105" t="s">
        <v>3671</v>
      </c>
      <c r="E105" t="s">
        <v>3672</v>
      </c>
    </row>
    <row r="106" spans="1:7" x14ac:dyDescent="0.2">
      <c r="A106">
        <v>7</v>
      </c>
      <c r="B106" t="s">
        <v>1472</v>
      </c>
      <c r="C106" t="s">
        <v>3673</v>
      </c>
      <c r="D106" t="s">
        <v>1862</v>
      </c>
      <c r="E106" t="s">
        <v>3674</v>
      </c>
    </row>
    <row r="107" spans="1:7" x14ac:dyDescent="0.2">
      <c r="A107">
        <v>8</v>
      </c>
      <c r="B107" t="s">
        <v>1472</v>
      </c>
      <c r="C107" t="s">
        <v>3675</v>
      </c>
      <c r="D107" t="s">
        <v>3676</v>
      </c>
      <c r="E107" t="s">
        <v>3677</v>
      </c>
    </row>
    <row r="108" spans="1:7" x14ac:dyDescent="0.2">
      <c r="A108">
        <v>9</v>
      </c>
      <c r="B108" t="s">
        <v>1472</v>
      </c>
      <c r="C108" t="s">
        <v>3678</v>
      </c>
      <c r="D108" t="s">
        <v>3679</v>
      </c>
      <c r="E108" t="s">
        <v>3680</v>
      </c>
    </row>
    <row r="109" spans="1:7" x14ac:dyDescent="0.2">
      <c r="A109">
        <v>10</v>
      </c>
      <c r="B109" t="s">
        <v>1734</v>
      </c>
      <c r="C109" t="s">
        <v>3681</v>
      </c>
      <c r="D109" t="s">
        <v>3682</v>
      </c>
      <c r="E109" t="s">
        <v>3683</v>
      </c>
    </row>
    <row r="110" spans="1:7" x14ac:dyDescent="0.2">
      <c r="A110">
        <v>11</v>
      </c>
      <c r="B110" t="s">
        <v>1894</v>
      </c>
      <c r="C110" t="s">
        <v>3684</v>
      </c>
      <c r="D110" t="s">
        <v>3685</v>
      </c>
      <c r="E110" t="s">
        <v>3686</v>
      </c>
    </row>
    <row r="111" spans="1:7" x14ac:dyDescent="0.2">
      <c r="A111">
        <v>12</v>
      </c>
      <c r="B111" t="s">
        <v>1894</v>
      </c>
      <c r="C111" t="s">
        <v>3687</v>
      </c>
      <c r="D111" t="s">
        <v>3688</v>
      </c>
      <c r="E111" t="s">
        <v>3689</v>
      </c>
    </row>
    <row r="112" spans="1:7" x14ac:dyDescent="0.2">
      <c r="A112">
        <v>13</v>
      </c>
      <c r="B112" t="s">
        <v>1557</v>
      </c>
      <c r="C112" t="s">
        <v>3690</v>
      </c>
      <c r="D112" t="s">
        <v>3691</v>
      </c>
      <c r="E112" t="s">
        <v>3692</v>
      </c>
    </row>
    <row r="113" spans="1:5" x14ac:dyDescent="0.2">
      <c r="A113">
        <v>14</v>
      </c>
      <c r="B113" t="s">
        <v>2436</v>
      </c>
      <c r="C113" t="s">
        <v>3693</v>
      </c>
      <c r="D113" t="s">
        <v>3227</v>
      </c>
      <c r="E113" t="s">
        <v>3694</v>
      </c>
    </row>
    <row r="114" spans="1:5" x14ac:dyDescent="0.2">
      <c r="A114">
        <v>15</v>
      </c>
      <c r="B114" t="s">
        <v>1595</v>
      </c>
      <c r="C114" t="s">
        <v>3695</v>
      </c>
      <c r="D114" t="s">
        <v>3696</v>
      </c>
      <c r="E114" t="s">
        <v>3697</v>
      </c>
    </row>
    <row r="115" spans="1:5" x14ac:dyDescent="0.2">
      <c r="A115">
        <v>16</v>
      </c>
      <c r="B115" t="s">
        <v>1754</v>
      </c>
      <c r="C115" t="s">
        <v>3698</v>
      </c>
      <c r="D115" t="s">
        <v>3699</v>
      </c>
      <c r="E115" t="s">
        <v>3700</v>
      </c>
    </row>
    <row r="117" spans="1:5" ht="15" x14ac:dyDescent="0.25">
      <c r="A117" s="751" t="s">
        <v>1532</v>
      </c>
      <c r="B117" s="752"/>
      <c r="C117" s="752"/>
      <c r="D117" s="752"/>
      <c r="E117" s="752"/>
    </row>
    <row r="118" spans="1:5" x14ac:dyDescent="0.2">
      <c r="A118" t="s">
        <v>3701</v>
      </c>
    </row>
    <row r="119" spans="1:5" x14ac:dyDescent="0.2">
      <c r="A119" t="s">
        <v>3702</v>
      </c>
    </row>
    <row r="120" spans="1:5" x14ac:dyDescent="0.2">
      <c r="A120" t="s">
        <v>3703</v>
      </c>
    </row>
    <row r="121" spans="1:5" x14ac:dyDescent="0.2">
      <c r="A121" t="s">
        <v>3704</v>
      </c>
    </row>
    <row r="122" spans="1:5" x14ac:dyDescent="0.2">
      <c r="A122" t="s">
        <v>3705</v>
      </c>
    </row>
    <row r="123" spans="1:5" x14ac:dyDescent="0.2">
      <c r="A123" t="s">
        <v>3706</v>
      </c>
    </row>
    <row r="124" spans="1:5" x14ac:dyDescent="0.2">
      <c r="A124" t="s">
        <v>3707</v>
      </c>
    </row>
    <row r="125" spans="1:5" x14ac:dyDescent="0.2">
      <c r="A125" t="s">
        <v>3708</v>
      </c>
    </row>
    <row r="126" spans="1:5" x14ac:dyDescent="0.2">
      <c r="A126" t="s">
        <v>3709</v>
      </c>
    </row>
    <row r="129" spans="1:1" ht="18" x14ac:dyDescent="0.25">
      <c r="A129" s="833" t="s">
        <v>6500</v>
      </c>
    </row>
    <row r="130" spans="1:1" x14ac:dyDescent="0.2">
      <c r="A130" s="734" t="s">
        <v>6501</v>
      </c>
    </row>
    <row r="132" spans="1:1" x14ac:dyDescent="0.2">
      <c r="A132" s="609" t="s">
        <v>6324</v>
      </c>
    </row>
    <row r="133" spans="1:1" x14ac:dyDescent="0.2">
      <c r="A133" t="s">
        <v>6502</v>
      </c>
    </row>
    <row r="134" spans="1:1" x14ac:dyDescent="0.2">
      <c r="A134" t="s">
        <v>6503</v>
      </c>
    </row>
    <row r="135" spans="1:1" x14ac:dyDescent="0.2">
      <c r="A135" t="s">
        <v>6504</v>
      </c>
    </row>
    <row r="136" spans="1:1" x14ac:dyDescent="0.2">
      <c r="A136" t="s">
        <v>6505</v>
      </c>
    </row>
    <row r="138" spans="1:1" x14ac:dyDescent="0.2">
      <c r="A138" s="609" t="s">
        <v>6328</v>
      </c>
    </row>
    <row r="139" spans="1:1" x14ac:dyDescent="0.2">
      <c r="A139" t="s">
        <v>6506</v>
      </c>
    </row>
    <row r="140" spans="1:1" x14ac:dyDescent="0.2">
      <c r="A140" t="s">
        <v>6507</v>
      </c>
    </row>
    <row r="141" spans="1:1" x14ac:dyDescent="0.2">
      <c r="A141" t="s">
        <v>6508</v>
      </c>
    </row>
    <row r="142" spans="1:1" x14ac:dyDescent="0.2">
      <c r="A142" t="s">
        <v>6509</v>
      </c>
    </row>
    <row r="143" spans="1:1" x14ac:dyDescent="0.2">
      <c r="A143" t="s">
        <v>6510</v>
      </c>
    </row>
    <row r="145" spans="1:1" x14ac:dyDescent="0.2">
      <c r="A145" s="609" t="s">
        <v>6287</v>
      </c>
    </row>
    <row r="146" spans="1:1" x14ac:dyDescent="0.2">
      <c r="A146" t="s">
        <v>6511</v>
      </c>
    </row>
    <row r="147" spans="1:1" x14ac:dyDescent="0.2">
      <c r="A147" t="s">
        <v>6512</v>
      </c>
    </row>
    <row r="148" spans="1:1" x14ac:dyDescent="0.2">
      <c r="A148" t="s">
        <v>6513</v>
      </c>
    </row>
    <row r="149" spans="1:1" x14ac:dyDescent="0.2">
      <c r="A149" t="s">
        <v>6514</v>
      </c>
    </row>
    <row r="151" spans="1:1" x14ac:dyDescent="0.2">
      <c r="A151" s="609" t="s">
        <v>6515</v>
      </c>
    </row>
    <row r="152" spans="1:1" x14ac:dyDescent="0.2">
      <c r="A152" t="s">
        <v>6516</v>
      </c>
    </row>
    <row r="153" spans="1:1" x14ac:dyDescent="0.2">
      <c r="A153" t="s">
        <v>6517</v>
      </c>
    </row>
    <row r="154" spans="1:1" x14ac:dyDescent="0.2">
      <c r="A154" t="s">
        <v>6518</v>
      </c>
    </row>
    <row r="155" spans="1:1" x14ac:dyDescent="0.2">
      <c r="A155" t="s">
        <v>6519</v>
      </c>
    </row>
    <row r="156" spans="1:1" x14ac:dyDescent="0.2">
      <c r="A156" t="s">
        <v>6520</v>
      </c>
    </row>
    <row r="158" spans="1:1" x14ac:dyDescent="0.2">
      <c r="A158" s="609" t="s">
        <v>6521</v>
      </c>
    </row>
    <row r="159" spans="1:1" x14ac:dyDescent="0.2">
      <c r="A159" t="s">
        <v>6522</v>
      </c>
    </row>
    <row r="160" spans="1:1" x14ac:dyDescent="0.2">
      <c r="A160" t="s">
        <v>6523</v>
      </c>
    </row>
    <row r="161" spans="1:1" x14ac:dyDescent="0.2">
      <c r="A161" t="s">
        <v>6524</v>
      </c>
    </row>
    <row r="163" spans="1:1" x14ac:dyDescent="0.2">
      <c r="A163" s="609" t="s">
        <v>6458</v>
      </c>
    </row>
    <row r="164" spans="1:1" x14ac:dyDescent="0.2">
      <c r="A164" t="s">
        <v>6525</v>
      </c>
    </row>
    <row r="165" spans="1:1" x14ac:dyDescent="0.2">
      <c r="A165" t="s">
        <v>6526</v>
      </c>
    </row>
    <row r="166" spans="1:1" x14ac:dyDescent="0.2">
      <c r="A166" t="s">
        <v>6527</v>
      </c>
    </row>
    <row r="168" spans="1:1" x14ac:dyDescent="0.2">
      <c r="A168" s="609" t="s">
        <v>6528</v>
      </c>
    </row>
    <row r="169" spans="1:1" x14ac:dyDescent="0.2">
      <c r="A169" t="s">
        <v>6529</v>
      </c>
    </row>
    <row r="170" spans="1:1" x14ac:dyDescent="0.2">
      <c r="A170" t="s">
        <v>6530</v>
      </c>
    </row>
    <row r="171" spans="1:1" x14ac:dyDescent="0.2">
      <c r="A171" t="s">
        <v>6531</v>
      </c>
    </row>
    <row r="173" spans="1:1" x14ac:dyDescent="0.2">
      <c r="A173" s="609" t="s">
        <v>6467</v>
      </c>
    </row>
    <row r="174" spans="1:1" x14ac:dyDescent="0.2">
      <c r="A174" t="s">
        <v>6532</v>
      </c>
    </row>
    <row r="175" spans="1:1" x14ac:dyDescent="0.2">
      <c r="A175" t="s">
        <v>6533</v>
      </c>
    </row>
    <row r="178" spans="1:1" ht="18" x14ac:dyDescent="0.25">
      <c r="A178" s="838" t="s">
        <v>7178</v>
      </c>
    </row>
    <row r="179" spans="1:1" x14ac:dyDescent="0.2">
      <c r="A179" s="734" t="s">
        <v>7131</v>
      </c>
    </row>
    <row r="181" spans="1:1" x14ac:dyDescent="0.2">
      <c r="A181" s="839" t="s">
        <v>7132</v>
      </c>
    </row>
    <row r="182" spans="1:1" x14ac:dyDescent="0.2">
      <c r="A182" t="s">
        <v>7179</v>
      </c>
    </row>
    <row r="183" spans="1:1" x14ac:dyDescent="0.2">
      <c r="A183" t="s">
        <v>7180</v>
      </c>
    </row>
    <row r="184" spans="1:1" x14ac:dyDescent="0.2">
      <c r="A184" t="s">
        <v>7181</v>
      </c>
    </row>
    <row r="185" spans="1:1" x14ac:dyDescent="0.2">
      <c r="A185" t="s">
        <v>7182</v>
      </c>
    </row>
    <row r="186" spans="1:1" x14ac:dyDescent="0.2">
      <c r="A186" t="s">
        <v>7183</v>
      </c>
    </row>
    <row r="187" spans="1:1" x14ac:dyDescent="0.2">
      <c r="A187" t="s">
        <v>7184</v>
      </c>
    </row>
  </sheetData>
  <pageMargins left="0.7" right="0.7" top="0.75" bottom="0.75" header="0.3" footer="0.3"/>
  <legacy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17EFD-65BB-4B43-8997-58AF9F138852}">
  <dimension ref="A1:Z146"/>
  <sheetViews>
    <sheetView workbookViewId="0"/>
  </sheetViews>
  <sheetFormatPr defaultRowHeight="12.75" x14ac:dyDescent="0.2"/>
  <cols>
    <col min="1" max="1" width="137.140625" customWidth="1"/>
    <col min="2" max="2" width="15.28515625" customWidth="1"/>
    <col min="3" max="26" width="13.28515625" customWidth="1"/>
  </cols>
  <sheetData>
    <row r="1" spans="1:26" ht="18" x14ac:dyDescent="0.25">
      <c r="A1" s="470" t="s">
        <v>3002</v>
      </c>
    </row>
    <row r="2" spans="1:26" x14ac:dyDescent="0.2">
      <c r="A2" s="537" t="s">
        <v>3003</v>
      </c>
    </row>
    <row r="4" spans="1:26" ht="15" x14ac:dyDescent="0.25">
      <c r="A4" s="640" t="s">
        <v>1443</v>
      </c>
    </row>
    <row r="5" spans="1:26" x14ac:dyDescent="0.2">
      <c r="A5" s="472" t="s">
        <v>3004</v>
      </c>
      <c r="B5" s="564">
        <v>343</v>
      </c>
      <c r="C5" s="598" t="s">
        <v>3005</v>
      </c>
    </row>
    <row r="6" spans="1:26" x14ac:dyDescent="0.2">
      <c r="A6" s="472" t="s">
        <v>3006</v>
      </c>
      <c r="B6" s="565">
        <v>0.5</v>
      </c>
    </row>
    <row r="7" spans="1:26" x14ac:dyDescent="0.2">
      <c r="A7" s="472" t="s">
        <v>3007</v>
      </c>
      <c r="B7" s="565">
        <v>1.5</v>
      </c>
    </row>
    <row r="9" spans="1:26" ht="15" x14ac:dyDescent="0.25">
      <c r="A9" s="603" t="s">
        <v>3008</v>
      </c>
    </row>
    <row r="10" spans="1:26" x14ac:dyDescent="0.2">
      <c r="A10" s="472" t="s">
        <v>785</v>
      </c>
      <c r="C10" s="621" t="s">
        <v>3028</v>
      </c>
      <c r="D10" s="621" t="s">
        <v>3029</v>
      </c>
      <c r="E10" s="621" t="s">
        <v>3030</v>
      </c>
      <c r="F10" s="621" t="s">
        <v>3031</v>
      </c>
      <c r="G10" s="621" t="s">
        <v>3032</v>
      </c>
      <c r="H10" s="621" t="s">
        <v>3033</v>
      </c>
      <c r="I10" s="621" t="s">
        <v>3034</v>
      </c>
      <c r="J10" s="621" t="s">
        <v>3035</v>
      </c>
      <c r="K10" s="621" t="s">
        <v>3036</v>
      </c>
      <c r="L10" s="621" t="s">
        <v>3037</v>
      </c>
      <c r="M10" s="621" t="s">
        <v>3038</v>
      </c>
      <c r="N10" s="621" t="s">
        <v>3039</v>
      </c>
      <c r="O10" s="621" t="s">
        <v>975</v>
      </c>
      <c r="P10" s="621" t="s">
        <v>976</v>
      </c>
      <c r="Q10" s="621" t="s">
        <v>977</v>
      </c>
      <c r="R10" s="621" t="s">
        <v>978</v>
      </c>
      <c r="S10" s="621" t="s">
        <v>3040</v>
      </c>
      <c r="T10" s="621" t="s">
        <v>980</v>
      </c>
      <c r="U10" s="621" t="s">
        <v>981</v>
      </c>
      <c r="V10" s="621" t="s">
        <v>753</v>
      </c>
      <c r="W10" s="621" t="s">
        <v>760</v>
      </c>
      <c r="X10" s="621" t="s">
        <v>759</v>
      </c>
      <c r="Y10" s="621" t="s">
        <v>763</v>
      </c>
      <c r="Z10" s="621" t="s">
        <v>782</v>
      </c>
    </row>
    <row r="11" spans="1:26" x14ac:dyDescent="0.2">
      <c r="A11" s="472" t="s">
        <v>1</v>
      </c>
      <c r="C11" s="611">
        <v>6</v>
      </c>
      <c r="D11" s="611">
        <v>7</v>
      </c>
      <c r="E11" s="611">
        <v>8</v>
      </c>
      <c r="F11" s="611">
        <v>9</v>
      </c>
      <c r="G11" s="611">
        <v>10</v>
      </c>
      <c r="H11" s="611">
        <v>11</v>
      </c>
      <c r="I11" s="611">
        <v>12</v>
      </c>
      <c r="J11" s="611">
        <v>13</v>
      </c>
      <c r="K11" s="611">
        <v>14</v>
      </c>
      <c r="L11" s="611">
        <v>15</v>
      </c>
      <c r="M11" s="611">
        <v>16</v>
      </c>
      <c r="N11" s="611">
        <v>17</v>
      </c>
      <c r="O11" s="611">
        <v>18</v>
      </c>
      <c r="P11" s="611">
        <v>19</v>
      </c>
      <c r="Q11" s="611">
        <v>20</v>
      </c>
      <c r="R11" s="611">
        <v>21</v>
      </c>
      <c r="S11" s="611">
        <v>22</v>
      </c>
      <c r="T11" s="611">
        <v>23</v>
      </c>
      <c r="U11" s="611">
        <v>24</v>
      </c>
      <c r="V11" s="611">
        <v>25</v>
      </c>
      <c r="W11" s="611">
        <v>26</v>
      </c>
      <c r="X11" s="611">
        <v>27</v>
      </c>
      <c r="Y11" s="611">
        <v>28</v>
      </c>
      <c r="Z11" s="611">
        <v>29</v>
      </c>
    </row>
    <row r="12" spans="1:26" x14ac:dyDescent="0.2">
      <c r="A12" s="472" t="s">
        <v>3009</v>
      </c>
      <c r="C12" s="469">
        <f t="shared" ref="C12:Z12" si="0">((2^(1/12))^(C11-49))*440</f>
        <v>36.708095989675918</v>
      </c>
      <c r="D12" s="469">
        <f t="shared" si="0"/>
        <v>38.890872965260101</v>
      </c>
      <c r="E12" s="469">
        <f t="shared" si="0"/>
        <v>41.203444614108726</v>
      </c>
      <c r="F12" s="469">
        <f t="shared" si="0"/>
        <v>43.653528929125471</v>
      </c>
      <c r="G12" s="469">
        <f t="shared" si="0"/>
        <v>46.249302838954272</v>
      </c>
      <c r="H12" s="469">
        <f t="shared" si="0"/>
        <v>48.999429497718644</v>
      </c>
      <c r="I12" s="469">
        <f t="shared" si="0"/>
        <v>51.913087197493134</v>
      </c>
      <c r="J12" s="469">
        <f t="shared" si="0"/>
        <v>54.999999999999979</v>
      </c>
      <c r="K12" s="469">
        <f t="shared" si="0"/>
        <v>58.270470189761205</v>
      </c>
      <c r="L12" s="469">
        <f t="shared" si="0"/>
        <v>61.735412657015495</v>
      </c>
      <c r="M12" s="469">
        <f t="shared" si="0"/>
        <v>65.406391325149627</v>
      </c>
      <c r="N12" s="469">
        <f t="shared" si="0"/>
        <v>69.295657744218005</v>
      </c>
      <c r="O12" s="469">
        <f t="shared" si="0"/>
        <v>73.416191979351865</v>
      </c>
      <c r="P12" s="469">
        <f t="shared" si="0"/>
        <v>77.781745930520202</v>
      </c>
      <c r="Q12" s="469">
        <f t="shared" si="0"/>
        <v>82.406889228217466</v>
      </c>
      <c r="R12" s="469">
        <f t="shared" si="0"/>
        <v>87.307057858250957</v>
      </c>
      <c r="S12" s="469">
        <f t="shared" si="0"/>
        <v>92.498605677908543</v>
      </c>
      <c r="T12" s="469">
        <f t="shared" si="0"/>
        <v>97.998858995437303</v>
      </c>
      <c r="U12" s="469">
        <f t="shared" si="0"/>
        <v>103.82617439498627</v>
      </c>
      <c r="V12" s="469">
        <f t="shared" si="0"/>
        <v>109.99999999999997</v>
      </c>
      <c r="W12" s="469">
        <f t="shared" si="0"/>
        <v>116.54094037952244</v>
      </c>
      <c r="X12" s="469">
        <f t="shared" si="0"/>
        <v>123.470825314031</v>
      </c>
      <c r="Y12" s="469">
        <f t="shared" si="0"/>
        <v>130.81278265029928</v>
      </c>
      <c r="Z12" s="469">
        <f t="shared" si="0"/>
        <v>138.59131548843604</v>
      </c>
    </row>
    <row r="13" spans="1:26" x14ac:dyDescent="0.2">
      <c r="A13" s="472" t="s">
        <v>3010</v>
      </c>
      <c r="C13" s="469">
        <f t="shared" ref="C13:Z13" si="1">3*C12</f>
        <v>110.12428796902776</v>
      </c>
      <c r="D13" s="469">
        <f t="shared" si="1"/>
        <v>116.6726188957803</v>
      </c>
      <c r="E13" s="469">
        <f t="shared" si="1"/>
        <v>123.61033384232618</v>
      </c>
      <c r="F13" s="469">
        <f t="shared" si="1"/>
        <v>130.96058678737643</v>
      </c>
      <c r="G13" s="469">
        <f t="shared" si="1"/>
        <v>138.74790851686282</v>
      </c>
      <c r="H13" s="469">
        <f t="shared" si="1"/>
        <v>146.99828849315594</v>
      </c>
      <c r="I13" s="469">
        <f t="shared" si="1"/>
        <v>155.73926159247941</v>
      </c>
      <c r="J13" s="469">
        <f t="shared" si="1"/>
        <v>164.99999999999994</v>
      </c>
      <c r="K13" s="469">
        <f t="shared" si="1"/>
        <v>174.81141056928362</v>
      </c>
      <c r="L13" s="469">
        <f t="shared" si="1"/>
        <v>185.20623797104648</v>
      </c>
      <c r="M13" s="469">
        <f t="shared" si="1"/>
        <v>196.21917397544888</v>
      </c>
      <c r="N13" s="469">
        <f t="shared" si="1"/>
        <v>207.88697323265401</v>
      </c>
      <c r="O13" s="469">
        <f t="shared" si="1"/>
        <v>220.24857593805558</v>
      </c>
      <c r="P13" s="469">
        <f t="shared" si="1"/>
        <v>233.34523779156061</v>
      </c>
      <c r="Q13" s="469">
        <f t="shared" si="1"/>
        <v>247.2206676846524</v>
      </c>
      <c r="R13" s="469">
        <f t="shared" si="1"/>
        <v>261.92117357475286</v>
      </c>
      <c r="S13" s="469">
        <f t="shared" si="1"/>
        <v>277.49581703372564</v>
      </c>
      <c r="T13" s="469">
        <f t="shared" si="1"/>
        <v>293.99657698631188</v>
      </c>
      <c r="U13" s="469">
        <f t="shared" si="1"/>
        <v>311.47852318495882</v>
      </c>
      <c r="V13" s="469">
        <f t="shared" si="1"/>
        <v>329.99999999999989</v>
      </c>
      <c r="W13" s="469">
        <f t="shared" si="1"/>
        <v>349.6228211385673</v>
      </c>
      <c r="X13" s="469">
        <f t="shared" si="1"/>
        <v>370.41247594209301</v>
      </c>
      <c r="Y13" s="469">
        <f t="shared" si="1"/>
        <v>392.43834795089788</v>
      </c>
      <c r="Z13" s="469">
        <f t="shared" si="1"/>
        <v>415.77394646530809</v>
      </c>
    </row>
    <row r="14" spans="1:26" x14ac:dyDescent="0.2">
      <c r="A14" s="472" t="s">
        <v>3011</v>
      </c>
      <c r="C14" s="469">
        <f t="shared" ref="C14:Z14" si="2">5*C12</f>
        <v>183.54047994837958</v>
      </c>
      <c r="D14" s="469">
        <f t="shared" si="2"/>
        <v>194.45436482630049</v>
      </c>
      <c r="E14" s="469">
        <f t="shared" si="2"/>
        <v>206.01722307054362</v>
      </c>
      <c r="F14" s="469">
        <f t="shared" si="2"/>
        <v>218.26764464562734</v>
      </c>
      <c r="G14" s="469">
        <f t="shared" si="2"/>
        <v>231.24651419477135</v>
      </c>
      <c r="H14" s="469">
        <f t="shared" si="2"/>
        <v>244.99714748859321</v>
      </c>
      <c r="I14" s="469">
        <f t="shared" si="2"/>
        <v>259.56543598746566</v>
      </c>
      <c r="J14" s="469">
        <f t="shared" si="2"/>
        <v>274.99999999999989</v>
      </c>
      <c r="K14" s="469">
        <f t="shared" si="2"/>
        <v>291.35235094880602</v>
      </c>
      <c r="L14" s="469">
        <f t="shared" si="2"/>
        <v>308.67706328507745</v>
      </c>
      <c r="M14" s="469">
        <f t="shared" si="2"/>
        <v>327.03195662574814</v>
      </c>
      <c r="N14" s="469">
        <f t="shared" si="2"/>
        <v>346.47828872109005</v>
      </c>
      <c r="O14" s="469">
        <f t="shared" si="2"/>
        <v>367.08095989675934</v>
      </c>
      <c r="P14" s="469">
        <f t="shared" si="2"/>
        <v>388.90872965260098</v>
      </c>
      <c r="Q14" s="469">
        <f t="shared" si="2"/>
        <v>412.0344461410873</v>
      </c>
      <c r="R14" s="469">
        <f t="shared" si="2"/>
        <v>436.5352892912548</v>
      </c>
      <c r="S14" s="469">
        <f t="shared" si="2"/>
        <v>462.4930283895427</v>
      </c>
      <c r="T14" s="469">
        <f t="shared" si="2"/>
        <v>489.99429497718654</v>
      </c>
      <c r="U14" s="469">
        <f t="shared" si="2"/>
        <v>519.13087197493132</v>
      </c>
      <c r="V14" s="469">
        <f t="shared" si="2"/>
        <v>549.99999999999989</v>
      </c>
      <c r="W14" s="469">
        <f t="shared" si="2"/>
        <v>582.70470189761215</v>
      </c>
      <c r="X14" s="469">
        <f t="shared" si="2"/>
        <v>617.35412657015502</v>
      </c>
      <c r="Y14" s="469">
        <f t="shared" si="2"/>
        <v>654.06391325149639</v>
      </c>
      <c r="Z14" s="469">
        <f t="shared" si="2"/>
        <v>692.95657744218022</v>
      </c>
    </row>
    <row r="15" spans="1:26" x14ac:dyDescent="0.2">
      <c r="A15" s="472" t="s">
        <v>3012</v>
      </c>
      <c r="C15" s="469">
        <f t="shared" ref="C15:Z15" si="3">($B$5/(C12*4))*39.3701</f>
        <v>91.968433229266097</v>
      </c>
      <c r="D15" s="469">
        <f t="shared" si="3"/>
        <v>86.806641702685724</v>
      </c>
      <c r="E15" s="469">
        <f t="shared" si="3"/>
        <v>81.934559273328517</v>
      </c>
      <c r="F15" s="469">
        <f t="shared" si="3"/>
        <v>77.335925818990432</v>
      </c>
      <c r="G15" s="469">
        <f t="shared" si="3"/>
        <v>72.995393828002051</v>
      </c>
      <c r="H15" s="469">
        <f t="shared" si="3"/>
        <v>68.898477178334943</v>
      </c>
      <c r="I15" s="469">
        <f t="shared" si="3"/>
        <v>65.031502791516232</v>
      </c>
      <c r="J15" s="469">
        <f t="shared" si="3"/>
        <v>61.38156500000003</v>
      </c>
      <c r="K15" s="469">
        <f t="shared" si="3"/>
        <v>57.93648247570173</v>
      </c>
      <c r="L15" s="469">
        <f t="shared" si="3"/>
        <v>54.684757575947934</v>
      </c>
      <c r="M15" s="469">
        <f t="shared" si="3"/>
        <v>51.615537971162901</v>
      </c>
      <c r="N15" s="469">
        <f t="shared" si="3"/>
        <v>48.71858042622722</v>
      </c>
      <c r="O15" s="469">
        <f t="shared" si="3"/>
        <v>45.984216614633027</v>
      </c>
      <c r="P15" s="469">
        <f t="shared" si="3"/>
        <v>43.403320851342862</v>
      </c>
      <c r="Q15" s="469">
        <f t="shared" si="3"/>
        <v>40.967279636664259</v>
      </c>
      <c r="R15" s="469">
        <f t="shared" si="3"/>
        <v>38.667962909495209</v>
      </c>
      <c r="S15" s="469">
        <f t="shared" si="3"/>
        <v>36.497696914001025</v>
      </c>
      <c r="T15" s="469">
        <f t="shared" si="3"/>
        <v>34.449238589167472</v>
      </c>
      <c r="U15" s="469">
        <f t="shared" si="3"/>
        <v>32.515751395758116</v>
      </c>
      <c r="V15" s="469">
        <f t="shared" si="3"/>
        <v>30.690782500000008</v>
      </c>
      <c r="W15" s="469">
        <f t="shared" si="3"/>
        <v>28.968241237850858</v>
      </c>
      <c r="X15" s="469">
        <f t="shared" si="3"/>
        <v>27.342378787973963</v>
      </c>
      <c r="Y15" s="469">
        <f t="shared" si="3"/>
        <v>25.807768985581443</v>
      </c>
      <c r="Z15" s="469">
        <f t="shared" si="3"/>
        <v>24.359290213113606</v>
      </c>
    </row>
    <row r="17" spans="1:26" ht="15" x14ac:dyDescent="0.25">
      <c r="A17" s="599" t="s">
        <v>3013</v>
      </c>
    </row>
    <row r="18" spans="1:26" x14ac:dyDescent="0.2">
      <c r="A18" s="472" t="s">
        <v>3014</v>
      </c>
      <c r="C18" s="729">
        <f t="shared" ref="C18:Z18" si="4">CEILING(C15+6,0.25)</f>
        <v>98</v>
      </c>
      <c r="D18" s="729">
        <f t="shared" si="4"/>
        <v>93</v>
      </c>
      <c r="E18" s="729">
        <f t="shared" si="4"/>
        <v>88</v>
      </c>
      <c r="F18" s="729">
        <f t="shared" si="4"/>
        <v>83.5</v>
      </c>
      <c r="G18" s="729">
        <f t="shared" si="4"/>
        <v>79</v>
      </c>
      <c r="H18" s="729">
        <f t="shared" si="4"/>
        <v>75</v>
      </c>
      <c r="I18" s="729">
        <f t="shared" si="4"/>
        <v>71.25</v>
      </c>
      <c r="J18" s="729">
        <f t="shared" si="4"/>
        <v>67.5</v>
      </c>
      <c r="K18" s="729">
        <f t="shared" si="4"/>
        <v>64</v>
      </c>
      <c r="L18" s="729">
        <f t="shared" si="4"/>
        <v>60.75</v>
      </c>
      <c r="M18" s="729">
        <f t="shared" si="4"/>
        <v>57.75</v>
      </c>
      <c r="N18" s="729">
        <f t="shared" si="4"/>
        <v>54.75</v>
      </c>
      <c r="O18" s="729">
        <f t="shared" si="4"/>
        <v>52</v>
      </c>
      <c r="P18" s="729">
        <f t="shared" si="4"/>
        <v>49.5</v>
      </c>
      <c r="Q18" s="729">
        <f t="shared" si="4"/>
        <v>47</v>
      </c>
      <c r="R18" s="729">
        <f t="shared" si="4"/>
        <v>44.75</v>
      </c>
      <c r="S18" s="729">
        <f t="shared" si="4"/>
        <v>42.5</v>
      </c>
      <c r="T18" s="729">
        <f t="shared" si="4"/>
        <v>40.5</v>
      </c>
      <c r="U18" s="729">
        <f t="shared" si="4"/>
        <v>38.75</v>
      </c>
      <c r="V18" s="729">
        <f t="shared" si="4"/>
        <v>36.75</v>
      </c>
      <c r="W18" s="729">
        <f t="shared" si="4"/>
        <v>35</v>
      </c>
      <c r="X18" s="729">
        <f t="shared" si="4"/>
        <v>33.5</v>
      </c>
      <c r="Y18" s="729">
        <f t="shared" si="4"/>
        <v>32</v>
      </c>
      <c r="Z18" s="729">
        <f t="shared" si="4"/>
        <v>30.5</v>
      </c>
    </row>
    <row r="19" spans="1:26" x14ac:dyDescent="0.2">
      <c r="A19" s="472" t="s">
        <v>3015</v>
      </c>
      <c r="C19" s="622">
        <f t="shared" ref="C19:Z19" si="5">$B$7</f>
        <v>1.5</v>
      </c>
      <c r="D19" s="622">
        <f t="shared" si="5"/>
        <v>1.5</v>
      </c>
      <c r="E19" s="622">
        <f t="shared" si="5"/>
        <v>1.5</v>
      </c>
      <c r="F19" s="622">
        <f t="shared" si="5"/>
        <v>1.5</v>
      </c>
      <c r="G19" s="622">
        <f t="shared" si="5"/>
        <v>1.5</v>
      </c>
      <c r="H19" s="622">
        <f t="shared" si="5"/>
        <v>1.5</v>
      </c>
      <c r="I19" s="622">
        <f t="shared" si="5"/>
        <v>1.5</v>
      </c>
      <c r="J19" s="622">
        <f t="shared" si="5"/>
        <v>1.5</v>
      </c>
      <c r="K19" s="622">
        <f t="shared" si="5"/>
        <v>1.5</v>
      </c>
      <c r="L19" s="622">
        <f t="shared" si="5"/>
        <v>1.5</v>
      </c>
      <c r="M19" s="622">
        <f t="shared" si="5"/>
        <v>1.5</v>
      </c>
      <c r="N19" s="622">
        <f t="shared" si="5"/>
        <v>1.5</v>
      </c>
      <c r="O19" s="622">
        <f t="shared" si="5"/>
        <v>1.5</v>
      </c>
      <c r="P19" s="622">
        <f t="shared" si="5"/>
        <v>1.5</v>
      </c>
      <c r="Q19" s="622">
        <f t="shared" si="5"/>
        <v>1.5</v>
      </c>
      <c r="R19" s="622">
        <f t="shared" si="5"/>
        <v>1.5</v>
      </c>
      <c r="S19" s="622">
        <f t="shared" si="5"/>
        <v>1.5</v>
      </c>
      <c r="T19" s="622">
        <f t="shared" si="5"/>
        <v>1.5</v>
      </c>
      <c r="U19" s="622">
        <f t="shared" si="5"/>
        <v>1.5</v>
      </c>
      <c r="V19" s="622">
        <f t="shared" si="5"/>
        <v>1.5</v>
      </c>
      <c r="W19" s="622">
        <f t="shared" si="5"/>
        <v>1.5</v>
      </c>
      <c r="X19" s="622">
        <f t="shared" si="5"/>
        <v>1.5</v>
      </c>
      <c r="Y19" s="622">
        <f t="shared" si="5"/>
        <v>1.5</v>
      </c>
      <c r="Z19" s="622">
        <f t="shared" si="5"/>
        <v>1.5</v>
      </c>
    </row>
    <row r="20" spans="1:26" x14ac:dyDescent="0.2">
      <c r="A20" s="472" t="s">
        <v>3016</v>
      </c>
      <c r="C20" s="622">
        <f t="shared" ref="C20:Z20" si="6">C19+2*$B$6</f>
        <v>2.5</v>
      </c>
      <c r="D20" s="622">
        <f t="shared" si="6"/>
        <v>2.5</v>
      </c>
      <c r="E20" s="622">
        <f t="shared" si="6"/>
        <v>2.5</v>
      </c>
      <c r="F20" s="622">
        <f t="shared" si="6"/>
        <v>2.5</v>
      </c>
      <c r="G20" s="622">
        <f t="shared" si="6"/>
        <v>2.5</v>
      </c>
      <c r="H20" s="622">
        <f t="shared" si="6"/>
        <v>2.5</v>
      </c>
      <c r="I20" s="622">
        <f t="shared" si="6"/>
        <v>2.5</v>
      </c>
      <c r="J20" s="622">
        <f t="shared" si="6"/>
        <v>2.5</v>
      </c>
      <c r="K20" s="622">
        <f t="shared" si="6"/>
        <v>2.5</v>
      </c>
      <c r="L20" s="622">
        <f t="shared" si="6"/>
        <v>2.5</v>
      </c>
      <c r="M20" s="622">
        <f t="shared" si="6"/>
        <v>2.5</v>
      </c>
      <c r="N20" s="622">
        <f t="shared" si="6"/>
        <v>2.5</v>
      </c>
      <c r="O20" s="622">
        <f t="shared" si="6"/>
        <v>2.5</v>
      </c>
      <c r="P20" s="622">
        <f t="shared" si="6"/>
        <v>2.5</v>
      </c>
      <c r="Q20" s="622">
        <f t="shared" si="6"/>
        <v>2.5</v>
      </c>
      <c r="R20" s="622">
        <f t="shared" si="6"/>
        <v>2.5</v>
      </c>
      <c r="S20" s="622">
        <f t="shared" si="6"/>
        <v>2.5</v>
      </c>
      <c r="T20" s="622">
        <f t="shared" si="6"/>
        <v>2.5</v>
      </c>
      <c r="U20" s="622">
        <f t="shared" si="6"/>
        <v>2.5</v>
      </c>
      <c r="V20" s="622">
        <f t="shared" si="6"/>
        <v>2.5</v>
      </c>
      <c r="W20" s="622">
        <f t="shared" si="6"/>
        <v>2.5</v>
      </c>
      <c r="X20" s="622">
        <f t="shared" si="6"/>
        <v>2.5</v>
      </c>
      <c r="Y20" s="622">
        <f t="shared" si="6"/>
        <v>2.5</v>
      </c>
      <c r="Z20" s="622">
        <f t="shared" si="6"/>
        <v>2.5</v>
      </c>
    </row>
    <row r="21" spans="1:26" x14ac:dyDescent="0.2">
      <c r="A21" s="472" t="s">
        <v>234</v>
      </c>
      <c r="C21" s="622">
        <f t="shared" ref="C21:Z21" si="7">C15+C22</f>
        <v>92.4184332292661</v>
      </c>
      <c r="D21" s="622">
        <f t="shared" si="7"/>
        <v>87.256641702685727</v>
      </c>
      <c r="E21" s="622">
        <f t="shared" si="7"/>
        <v>82.38455927332852</v>
      </c>
      <c r="F21" s="622">
        <f t="shared" si="7"/>
        <v>77.785925818990435</v>
      </c>
      <c r="G21" s="622">
        <f t="shared" si="7"/>
        <v>73.445393828002054</v>
      </c>
      <c r="H21" s="622">
        <f t="shared" si="7"/>
        <v>69.348477178334946</v>
      </c>
      <c r="I21" s="622">
        <f t="shared" si="7"/>
        <v>65.481502791516235</v>
      </c>
      <c r="J21" s="622">
        <f t="shared" si="7"/>
        <v>61.831565000000033</v>
      </c>
      <c r="K21" s="622">
        <f t="shared" si="7"/>
        <v>58.386482475701733</v>
      </c>
      <c r="L21" s="622">
        <f t="shared" si="7"/>
        <v>55.134757575947937</v>
      </c>
      <c r="M21" s="622">
        <f t="shared" si="7"/>
        <v>52.065537971162904</v>
      </c>
      <c r="N21" s="622">
        <f t="shared" si="7"/>
        <v>49.168580426227223</v>
      </c>
      <c r="O21" s="622">
        <f t="shared" si="7"/>
        <v>46.43421661463303</v>
      </c>
      <c r="P21" s="622">
        <f t="shared" si="7"/>
        <v>43.853320851342865</v>
      </c>
      <c r="Q21" s="622">
        <f t="shared" si="7"/>
        <v>41.417279636664261</v>
      </c>
      <c r="R21" s="622">
        <f t="shared" si="7"/>
        <v>39.117962909495212</v>
      </c>
      <c r="S21" s="622">
        <f t="shared" si="7"/>
        <v>36.947696914001028</v>
      </c>
      <c r="T21" s="622">
        <f t="shared" si="7"/>
        <v>34.899238589167474</v>
      </c>
      <c r="U21" s="622">
        <f t="shared" si="7"/>
        <v>32.965751395758119</v>
      </c>
      <c r="V21" s="622">
        <f t="shared" si="7"/>
        <v>31.140782500000007</v>
      </c>
      <c r="W21" s="622">
        <f t="shared" si="7"/>
        <v>29.418241237850857</v>
      </c>
      <c r="X21" s="622">
        <f t="shared" si="7"/>
        <v>27.792378787973963</v>
      </c>
      <c r="Y21" s="622">
        <f t="shared" si="7"/>
        <v>26.257768985581443</v>
      </c>
      <c r="Z21" s="622">
        <f t="shared" si="7"/>
        <v>24.809290213113606</v>
      </c>
    </row>
    <row r="22" spans="1:26" x14ac:dyDescent="0.2">
      <c r="A22" s="472" t="s">
        <v>3017</v>
      </c>
      <c r="C22" s="622">
        <f t="shared" ref="C22:Z22" si="8">0.6*(C19/2)</f>
        <v>0.44999999999999996</v>
      </c>
      <c r="D22" s="622">
        <f t="shared" si="8"/>
        <v>0.44999999999999996</v>
      </c>
      <c r="E22" s="622">
        <f t="shared" si="8"/>
        <v>0.44999999999999996</v>
      </c>
      <c r="F22" s="622">
        <f t="shared" si="8"/>
        <v>0.44999999999999996</v>
      </c>
      <c r="G22" s="622">
        <f t="shared" si="8"/>
        <v>0.44999999999999996</v>
      </c>
      <c r="H22" s="622">
        <f t="shared" si="8"/>
        <v>0.44999999999999996</v>
      </c>
      <c r="I22" s="622">
        <f t="shared" si="8"/>
        <v>0.44999999999999996</v>
      </c>
      <c r="J22" s="622">
        <f t="shared" si="8"/>
        <v>0.44999999999999996</v>
      </c>
      <c r="K22" s="622">
        <f t="shared" si="8"/>
        <v>0.44999999999999996</v>
      </c>
      <c r="L22" s="622">
        <f t="shared" si="8"/>
        <v>0.44999999999999996</v>
      </c>
      <c r="M22" s="622">
        <f t="shared" si="8"/>
        <v>0.44999999999999996</v>
      </c>
      <c r="N22" s="622">
        <f t="shared" si="8"/>
        <v>0.44999999999999996</v>
      </c>
      <c r="O22" s="622">
        <f t="shared" si="8"/>
        <v>0.44999999999999996</v>
      </c>
      <c r="P22" s="622">
        <f t="shared" si="8"/>
        <v>0.44999999999999996</v>
      </c>
      <c r="Q22" s="622">
        <f t="shared" si="8"/>
        <v>0.44999999999999996</v>
      </c>
      <c r="R22" s="622">
        <f t="shared" si="8"/>
        <v>0.44999999999999996</v>
      </c>
      <c r="S22" s="622">
        <f t="shared" si="8"/>
        <v>0.44999999999999996</v>
      </c>
      <c r="T22" s="622">
        <f t="shared" si="8"/>
        <v>0.44999999999999996</v>
      </c>
      <c r="U22" s="622">
        <f t="shared" si="8"/>
        <v>0.44999999999999996</v>
      </c>
      <c r="V22" s="622">
        <f t="shared" si="8"/>
        <v>0.44999999999999996</v>
      </c>
      <c r="W22" s="622">
        <f t="shared" si="8"/>
        <v>0.44999999999999996</v>
      </c>
      <c r="X22" s="622">
        <f t="shared" si="8"/>
        <v>0.44999999999999996</v>
      </c>
      <c r="Y22" s="622">
        <f t="shared" si="8"/>
        <v>0.44999999999999996</v>
      </c>
      <c r="Z22" s="622">
        <f t="shared" si="8"/>
        <v>0.44999999999999996</v>
      </c>
    </row>
    <row r="24" spans="1:26" ht="15" x14ac:dyDescent="0.25">
      <c r="A24" s="600" t="s">
        <v>3018</v>
      </c>
    </row>
    <row r="25" spans="1:26" x14ac:dyDescent="0.2">
      <c r="A25" s="472" t="s">
        <v>3014</v>
      </c>
      <c r="C25" s="725">
        <f t="shared" ref="C25:Z25" si="9">CEILING(C15+6,0.25)</f>
        <v>98</v>
      </c>
      <c r="D25" s="725">
        <f t="shared" si="9"/>
        <v>93</v>
      </c>
      <c r="E25" s="725">
        <f t="shared" si="9"/>
        <v>88</v>
      </c>
      <c r="F25" s="725">
        <f t="shared" si="9"/>
        <v>83.5</v>
      </c>
      <c r="G25" s="725">
        <f t="shared" si="9"/>
        <v>79</v>
      </c>
      <c r="H25" s="725">
        <f t="shared" si="9"/>
        <v>75</v>
      </c>
      <c r="I25" s="725">
        <f t="shared" si="9"/>
        <v>71.25</v>
      </c>
      <c r="J25" s="725">
        <f t="shared" si="9"/>
        <v>67.5</v>
      </c>
      <c r="K25" s="725">
        <f t="shared" si="9"/>
        <v>64</v>
      </c>
      <c r="L25" s="725">
        <f t="shared" si="9"/>
        <v>60.75</v>
      </c>
      <c r="M25" s="725">
        <f t="shared" si="9"/>
        <v>57.75</v>
      </c>
      <c r="N25" s="725">
        <f t="shared" si="9"/>
        <v>54.75</v>
      </c>
      <c r="O25" s="725">
        <f t="shared" si="9"/>
        <v>52</v>
      </c>
      <c r="P25" s="725">
        <f t="shared" si="9"/>
        <v>49.5</v>
      </c>
      <c r="Q25" s="725">
        <f t="shared" si="9"/>
        <v>47</v>
      </c>
      <c r="R25" s="725">
        <f t="shared" si="9"/>
        <v>44.75</v>
      </c>
      <c r="S25" s="725">
        <f t="shared" si="9"/>
        <v>42.5</v>
      </c>
      <c r="T25" s="725">
        <f t="shared" si="9"/>
        <v>40.5</v>
      </c>
      <c r="U25" s="725">
        <f t="shared" si="9"/>
        <v>38.75</v>
      </c>
      <c r="V25" s="725">
        <f t="shared" si="9"/>
        <v>36.75</v>
      </c>
      <c r="W25" s="725">
        <f t="shared" si="9"/>
        <v>35</v>
      </c>
      <c r="X25" s="725">
        <f t="shared" si="9"/>
        <v>33.5</v>
      </c>
      <c r="Y25" s="725">
        <f t="shared" si="9"/>
        <v>32</v>
      </c>
      <c r="Z25" s="725">
        <f t="shared" si="9"/>
        <v>30.5</v>
      </c>
    </row>
    <row r="26" spans="1:26" x14ac:dyDescent="0.2">
      <c r="A26" s="472" t="s">
        <v>3019</v>
      </c>
      <c r="C26" s="730">
        <v>4</v>
      </c>
      <c r="D26" s="730">
        <v>4</v>
      </c>
      <c r="E26" s="730">
        <v>3.5</v>
      </c>
      <c r="F26" s="730">
        <v>3.5</v>
      </c>
      <c r="G26" s="730">
        <v>5</v>
      </c>
      <c r="H26" s="730">
        <v>3.5</v>
      </c>
      <c r="I26" s="730">
        <v>3.5</v>
      </c>
      <c r="J26" s="730">
        <v>3.5</v>
      </c>
      <c r="K26" s="730">
        <v>3</v>
      </c>
      <c r="L26" s="730">
        <v>3</v>
      </c>
      <c r="M26" s="730">
        <v>3</v>
      </c>
      <c r="N26" s="730">
        <v>3</v>
      </c>
      <c r="O26" s="730">
        <v>3</v>
      </c>
      <c r="P26" s="730">
        <v>3</v>
      </c>
      <c r="Q26" s="730">
        <v>3</v>
      </c>
      <c r="R26" s="730">
        <v>3</v>
      </c>
      <c r="S26" s="730">
        <v>3</v>
      </c>
      <c r="T26" s="730">
        <v>3</v>
      </c>
      <c r="U26" s="730">
        <v>3</v>
      </c>
      <c r="V26" s="730">
        <v>3</v>
      </c>
      <c r="W26" s="730">
        <v>3</v>
      </c>
      <c r="X26" s="730">
        <v>3</v>
      </c>
      <c r="Y26" s="730">
        <v>3</v>
      </c>
      <c r="Z26" s="730">
        <v>3</v>
      </c>
    </row>
    <row r="27" spans="1:26" x14ac:dyDescent="0.2">
      <c r="A27" s="472" t="s">
        <v>3020</v>
      </c>
      <c r="C27" s="725">
        <f t="shared" ref="C27:Z27" si="10">C26/$B$7</f>
        <v>2.6666666666666665</v>
      </c>
      <c r="D27" s="725">
        <f t="shared" si="10"/>
        <v>2.6666666666666665</v>
      </c>
      <c r="E27" s="725">
        <f t="shared" si="10"/>
        <v>2.3333333333333335</v>
      </c>
      <c r="F27" s="725">
        <f t="shared" si="10"/>
        <v>2.3333333333333335</v>
      </c>
      <c r="G27" s="725">
        <f t="shared" si="10"/>
        <v>3.3333333333333335</v>
      </c>
      <c r="H27" s="725">
        <f t="shared" si="10"/>
        <v>2.3333333333333335</v>
      </c>
      <c r="I27" s="725">
        <f t="shared" si="10"/>
        <v>2.3333333333333335</v>
      </c>
      <c r="J27" s="725">
        <f t="shared" si="10"/>
        <v>2.3333333333333335</v>
      </c>
      <c r="K27" s="725">
        <f t="shared" si="10"/>
        <v>2</v>
      </c>
      <c r="L27" s="725">
        <f t="shared" si="10"/>
        <v>2</v>
      </c>
      <c r="M27" s="725">
        <f t="shared" si="10"/>
        <v>2</v>
      </c>
      <c r="N27" s="725">
        <f t="shared" si="10"/>
        <v>2</v>
      </c>
      <c r="O27" s="725">
        <f t="shared" si="10"/>
        <v>2</v>
      </c>
      <c r="P27" s="725">
        <f t="shared" si="10"/>
        <v>2</v>
      </c>
      <c r="Q27" s="725">
        <f t="shared" si="10"/>
        <v>2</v>
      </c>
      <c r="R27" s="725">
        <f t="shared" si="10"/>
        <v>2</v>
      </c>
      <c r="S27" s="725">
        <f t="shared" si="10"/>
        <v>2</v>
      </c>
      <c r="T27" s="725">
        <f t="shared" si="10"/>
        <v>2</v>
      </c>
      <c r="U27" s="725">
        <f t="shared" si="10"/>
        <v>2</v>
      </c>
      <c r="V27" s="725">
        <f t="shared" si="10"/>
        <v>2</v>
      </c>
      <c r="W27" s="725">
        <f t="shared" si="10"/>
        <v>2</v>
      </c>
      <c r="X27" s="725">
        <f t="shared" si="10"/>
        <v>2</v>
      </c>
      <c r="Y27" s="725">
        <f t="shared" si="10"/>
        <v>2</v>
      </c>
      <c r="Z27" s="725">
        <f t="shared" si="10"/>
        <v>2</v>
      </c>
    </row>
    <row r="28" spans="1:26" x14ac:dyDescent="0.2">
      <c r="A28" s="472" t="s">
        <v>3021</v>
      </c>
      <c r="C28" s="725">
        <f t="shared" ref="C28:Z28" si="11">DEGREES(ATAN((C26-$B$7)/(2*C15)))</f>
        <v>0.7786945173536558</v>
      </c>
      <c r="D28" s="725">
        <f t="shared" si="11"/>
        <v>0.82499188277488833</v>
      </c>
      <c r="E28" s="725">
        <f t="shared" si="11"/>
        <v>0.69925237133883633</v>
      </c>
      <c r="F28" s="725">
        <f t="shared" si="11"/>
        <v>0.74082757700822333</v>
      </c>
      <c r="G28" s="725">
        <f t="shared" si="11"/>
        <v>1.3733525587626922</v>
      </c>
      <c r="H28" s="725">
        <f t="shared" si="11"/>
        <v>0.83153879549306964</v>
      </c>
      <c r="I28" s="725">
        <f t="shared" si="11"/>
        <v>0.88097709103784916</v>
      </c>
      <c r="J28" s="725">
        <f t="shared" si="11"/>
        <v>0.93335370779712212</v>
      </c>
      <c r="K28" s="725">
        <f t="shared" si="11"/>
        <v>0.74166453769558416</v>
      </c>
      <c r="L28" s="725">
        <f t="shared" si="11"/>
        <v>0.78576083176411515</v>
      </c>
      <c r="M28" s="725">
        <f t="shared" si="11"/>
        <v>0.83247821123526489</v>
      </c>
      <c r="N28" s="725">
        <f t="shared" si="11"/>
        <v>0.88197234164811145</v>
      </c>
      <c r="O28" s="725">
        <f t="shared" si="11"/>
        <v>0.93440810852874867</v>
      </c>
      <c r="P28" s="725">
        <f t="shared" si="11"/>
        <v>0.98996015876450016</v>
      </c>
      <c r="Q28" s="725">
        <f t="shared" si="11"/>
        <v>1.0488134728712564</v>
      </c>
      <c r="R28" s="725">
        <f t="shared" si="11"/>
        <v>1.1111639697459326</v>
      </c>
      <c r="S28" s="725">
        <f t="shared" si="11"/>
        <v>1.1772191455445689</v>
      </c>
      <c r="T28" s="725">
        <f t="shared" si="11"/>
        <v>1.2471987483693889</v>
      </c>
      <c r="U28" s="725">
        <f t="shared" si="11"/>
        <v>1.3213354904831691</v>
      </c>
      <c r="V28" s="725">
        <f t="shared" si="11"/>
        <v>1.3998757997942917</v>
      </c>
      <c r="W28" s="725">
        <f t="shared" si="11"/>
        <v>1.483080612367865</v>
      </c>
      <c r="X28" s="725">
        <f t="shared" si="11"/>
        <v>1.5712262077140002</v>
      </c>
      <c r="Y28" s="725">
        <f t="shared" si="11"/>
        <v>1.6646050885794976</v>
      </c>
      <c r="Z28" s="725">
        <f t="shared" si="11"/>
        <v>1.7635269069189659</v>
      </c>
    </row>
    <row r="29" spans="1:26" x14ac:dyDescent="0.2">
      <c r="A29" s="472" t="s">
        <v>3022</v>
      </c>
      <c r="C29" s="625">
        <f t="shared" ref="C29:Z29" si="12">C26+2*$B$6</f>
        <v>5</v>
      </c>
      <c r="D29" s="625">
        <f t="shared" si="12"/>
        <v>5</v>
      </c>
      <c r="E29" s="625">
        <f t="shared" si="12"/>
        <v>4.5</v>
      </c>
      <c r="F29" s="625">
        <f t="shared" si="12"/>
        <v>4.5</v>
      </c>
      <c r="G29" s="625">
        <f t="shared" si="12"/>
        <v>6</v>
      </c>
      <c r="H29" s="625">
        <f t="shared" si="12"/>
        <v>4.5</v>
      </c>
      <c r="I29" s="625">
        <f t="shared" si="12"/>
        <v>4.5</v>
      </c>
      <c r="J29" s="625">
        <f t="shared" si="12"/>
        <v>4.5</v>
      </c>
      <c r="K29" s="625">
        <f t="shared" si="12"/>
        <v>4</v>
      </c>
      <c r="L29" s="625">
        <f t="shared" si="12"/>
        <v>4</v>
      </c>
      <c r="M29" s="625">
        <f t="shared" si="12"/>
        <v>4</v>
      </c>
      <c r="N29" s="625">
        <f t="shared" si="12"/>
        <v>4</v>
      </c>
      <c r="O29" s="625">
        <f t="shared" si="12"/>
        <v>4</v>
      </c>
      <c r="P29" s="625">
        <f t="shared" si="12"/>
        <v>4</v>
      </c>
      <c r="Q29" s="625">
        <f t="shared" si="12"/>
        <v>4</v>
      </c>
      <c r="R29" s="625">
        <f t="shared" si="12"/>
        <v>4</v>
      </c>
      <c r="S29" s="625">
        <f t="shared" si="12"/>
        <v>4</v>
      </c>
      <c r="T29" s="625">
        <f t="shared" si="12"/>
        <v>4</v>
      </c>
      <c r="U29" s="625">
        <f t="shared" si="12"/>
        <v>4</v>
      </c>
      <c r="V29" s="625">
        <f t="shared" si="12"/>
        <v>4</v>
      </c>
      <c r="W29" s="625">
        <f t="shared" si="12"/>
        <v>4</v>
      </c>
      <c r="X29" s="625">
        <f t="shared" si="12"/>
        <v>4</v>
      </c>
      <c r="Y29" s="625">
        <f t="shared" si="12"/>
        <v>4</v>
      </c>
      <c r="Z29" s="625">
        <f t="shared" si="12"/>
        <v>4</v>
      </c>
    </row>
    <row r="30" spans="1:26" x14ac:dyDescent="0.2">
      <c r="A30" s="472" t="s">
        <v>234</v>
      </c>
      <c r="C30" s="625">
        <f t="shared" ref="C30:Z30" si="13">C15+C31</f>
        <v>93.1684332292661</v>
      </c>
      <c r="D30" s="625">
        <f t="shared" si="13"/>
        <v>88.006641702685727</v>
      </c>
      <c r="E30" s="625">
        <f t="shared" si="13"/>
        <v>82.984559273328514</v>
      </c>
      <c r="F30" s="625">
        <f t="shared" si="13"/>
        <v>78.38592581899043</v>
      </c>
      <c r="G30" s="625">
        <f t="shared" si="13"/>
        <v>74.495393828002051</v>
      </c>
      <c r="H30" s="625">
        <f t="shared" si="13"/>
        <v>69.94847717833494</v>
      </c>
      <c r="I30" s="625">
        <f t="shared" si="13"/>
        <v>66.081502791516229</v>
      </c>
      <c r="J30" s="625">
        <f t="shared" si="13"/>
        <v>62.431565000000028</v>
      </c>
      <c r="K30" s="625">
        <f t="shared" si="13"/>
        <v>58.836482475701729</v>
      </c>
      <c r="L30" s="625">
        <f t="shared" si="13"/>
        <v>55.584757575947933</v>
      </c>
      <c r="M30" s="625">
        <f t="shared" si="13"/>
        <v>52.5155379711629</v>
      </c>
      <c r="N30" s="625">
        <f t="shared" si="13"/>
        <v>49.618580426227219</v>
      </c>
      <c r="O30" s="625">
        <f t="shared" si="13"/>
        <v>46.884216614633026</v>
      </c>
      <c r="P30" s="625">
        <f t="shared" si="13"/>
        <v>44.30332085134286</v>
      </c>
      <c r="Q30" s="625">
        <f t="shared" si="13"/>
        <v>41.867279636664257</v>
      </c>
      <c r="R30" s="625">
        <f t="shared" si="13"/>
        <v>39.567962909495208</v>
      </c>
      <c r="S30" s="625">
        <f t="shared" si="13"/>
        <v>37.397696914001024</v>
      </c>
      <c r="T30" s="625">
        <f t="shared" si="13"/>
        <v>35.34923858916747</v>
      </c>
      <c r="U30" s="625">
        <f t="shared" si="13"/>
        <v>33.415751395758114</v>
      </c>
      <c r="V30" s="625">
        <f t="shared" si="13"/>
        <v>31.590782500000007</v>
      </c>
      <c r="W30" s="625">
        <f t="shared" si="13"/>
        <v>29.868241237850857</v>
      </c>
      <c r="X30" s="625">
        <f t="shared" si="13"/>
        <v>28.242378787973962</v>
      </c>
      <c r="Y30" s="625">
        <f t="shared" si="13"/>
        <v>26.707768985581442</v>
      </c>
      <c r="Z30" s="625">
        <f t="shared" si="13"/>
        <v>25.259290213113605</v>
      </c>
    </row>
    <row r="31" spans="1:26" x14ac:dyDescent="0.2">
      <c r="A31" s="472" t="s">
        <v>3017</v>
      </c>
      <c r="C31" s="625">
        <f t="shared" ref="C31:Z31" si="14">0.6*(C26/2)</f>
        <v>1.2</v>
      </c>
      <c r="D31" s="625">
        <f t="shared" si="14"/>
        <v>1.2</v>
      </c>
      <c r="E31" s="625">
        <f t="shared" si="14"/>
        <v>1.05</v>
      </c>
      <c r="F31" s="625">
        <f t="shared" si="14"/>
        <v>1.05</v>
      </c>
      <c r="G31" s="625">
        <f t="shared" si="14"/>
        <v>1.5</v>
      </c>
      <c r="H31" s="625">
        <f t="shared" si="14"/>
        <v>1.05</v>
      </c>
      <c r="I31" s="625">
        <f t="shared" si="14"/>
        <v>1.05</v>
      </c>
      <c r="J31" s="625">
        <f t="shared" si="14"/>
        <v>1.05</v>
      </c>
      <c r="K31" s="625">
        <f t="shared" si="14"/>
        <v>0.89999999999999991</v>
      </c>
      <c r="L31" s="625">
        <f t="shared" si="14"/>
        <v>0.89999999999999991</v>
      </c>
      <c r="M31" s="625">
        <f t="shared" si="14"/>
        <v>0.89999999999999991</v>
      </c>
      <c r="N31" s="625">
        <f t="shared" si="14"/>
        <v>0.89999999999999991</v>
      </c>
      <c r="O31" s="625">
        <f t="shared" si="14"/>
        <v>0.89999999999999991</v>
      </c>
      <c r="P31" s="625">
        <f t="shared" si="14"/>
        <v>0.89999999999999991</v>
      </c>
      <c r="Q31" s="625">
        <f t="shared" si="14"/>
        <v>0.89999999999999991</v>
      </c>
      <c r="R31" s="625">
        <f t="shared" si="14"/>
        <v>0.89999999999999991</v>
      </c>
      <c r="S31" s="625">
        <f t="shared" si="14"/>
        <v>0.89999999999999991</v>
      </c>
      <c r="T31" s="625">
        <f t="shared" si="14"/>
        <v>0.89999999999999991</v>
      </c>
      <c r="U31" s="625">
        <f t="shared" si="14"/>
        <v>0.89999999999999991</v>
      </c>
      <c r="V31" s="625">
        <f t="shared" si="14"/>
        <v>0.89999999999999991</v>
      </c>
      <c r="W31" s="625">
        <f t="shared" si="14"/>
        <v>0.89999999999999991</v>
      </c>
      <c r="X31" s="625">
        <f t="shared" si="14"/>
        <v>0.89999999999999991</v>
      </c>
      <c r="Y31" s="625">
        <f t="shared" si="14"/>
        <v>0.89999999999999991</v>
      </c>
      <c r="Z31" s="625">
        <f t="shared" si="14"/>
        <v>0.89999999999999991</v>
      </c>
    </row>
    <row r="33" spans="1:26" ht="15" x14ac:dyDescent="0.25">
      <c r="A33" s="601" t="s">
        <v>3023</v>
      </c>
    </row>
    <row r="34" spans="1:26" x14ac:dyDescent="0.2">
      <c r="A34" s="472" t="s">
        <v>3014</v>
      </c>
      <c r="C34" s="731">
        <f t="shared" ref="C34:Z34" si="15">CEILING(C15+6,0.25)</f>
        <v>98</v>
      </c>
      <c r="D34" s="731">
        <f t="shared" si="15"/>
        <v>93</v>
      </c>
      <c r="E34" s="731">
        <f t="shared" si="15"/>
        <v>88</v>
      </c>
      <c r="F34" s="731">
        <f t="shared" si="15"/>
        <v>83.5</v>
      </c>
      <c r="G34" s="731">
        <f t="shared" si="15"/>
        <v>79</v>
      </c>
      <c r="H34" s="731">
        <f t="shared" si="15"/>
        <v>75</v>
      </c>
      <c r="I34" s="731">
        <f t="shared" si="15"/>
        <v>71.25</v>
      </c>
      <c r="J34" s="731">
        <f t="shared" si="15"/>
        <v>67.5</v>
      </c>
      <c r="K34" s="731">
        <f t="shared" si="15"/>
        <v>64</v>
      </c>
      <c r="L34" s="731">
        <f t="shared" si="15"/>
        <v>60.75</v>
      </c>
      <c r="M34" s="731">
        <f t="shared" si="15"/>
        <v>57.75</v>
      </c>
      <c r="N34" s="731">
        <f t="shared" si="15"/>
        <v>54.75</v>
      </c>
      <c r="O34" s="731">
        <f t="shared" si="15"/>
        <v>52</v>
      </c>
      <c r="P34" s="731">
        <f t="shared" si="15"/>
        <v>49.5</v>
      </c>
      <c r="Q34" s="731">
        <f t="shared" si="15"/>
        <v>47</v>
      </c>
      <c r="R34" s="731">
        <f t="shared" si="15"/>
        <v>44.75</v>
      </c>
      <c r="S34" s="731">
        <f t="shared" si="15"/>
        <v>42.5</v>
      </c>
      <c r="T34" s="731">
        <f t="shared" si="15"/>
        <v>40.5</v>
      </c>
      <c r="U34" s="731">
        <f t="shared" si="15"/>
        <v>38.75</v>
      </c>
      <c r="V34" s="731">
        <f t="shared" si="15"/>
        <v>36.75</v>
      </c>
      <c r="W34" s="731">
        <f t="shared" si="15"/>
        <v>35</v>
      </c>
      <c r="X34" s="731">
        <f t="shared" si="15"/>
        <v>33.5</v>
      </c>
      <c r="Y34" s="731">
        <f t="shared" si="15"/>
        <v>32</v>
      </c>
      <c r="Z34" s="731">
        <f t="shared" si="15"/>
        <v>30.5</v>
      </c>
    </row>
    <row r="35" spans="1:26" x14ac:dyDescent="0.2">
      <c r="A35" s="472" t="s">
        <v>3024</v>
      </c>
      <c r="C35" s="731">
        <f t="shared" ref="C35:Z35" si="16">C34*0.7</f>
        <v>68.599999999999994</v>
      </c>
      <c r="D35" s="731">
        <f t="shared" si="16"/>
        <v>65.099999999999994</v>
      </c>
      <c r="E35" s="731">
        <f t="shared" si="16"/>
        <v>61.599999999999994</v>
      </c>
      <c r="F35" s="731">
        <f t="shared" si="16"/>
        <v>58.449999999999996</v>
      </c>
      <c r="G35" s="731">
        <f t="shared" si="16"/>
        <v>55.3</v>
      </c>
      <c r="H35" s="731">
        <f t="shared" si="16"/>
        <v>52.5</v>
      </c>
      <c r="I35" s="731">
        <f t="shared" si="16"/>
        <v>49.875</v>
      </c>
      <c r="J35" s="731">
        <f t="shared" si="16"/>
        <v>47.25</v>
      </c>
      <c r="K35" s="731">
        <f t="shared" si="16"/>
        <v>44.8</v>
      </c>
      <c r="L35" s="731">
        <f t="shared" si="16"/>
        <v>42.524999999999999</v>
      </c>
      <c r="M35" s="731">
        <f t="shared" si="16"/>
        <v>40.424999999999997</v>
      </c>
      <c r="N35" s="731">
        <f t="shared" si="16"/>
        <v>38.324999999999996</v>
      </c>
      <c r="O35" s="731">
        <f t="shared" si="16"/>
        <v>36.4</v>
      </c>
      <c r="P35" s="731">
        <f t="shared" si="16"/>
        <v>34.65</v>
      </c>
      <c r="Q35" s="731">
        <f t="shared" si="16"/>
        <v>32.9</v>
      </c>
      <c r="R35" s="731">
        <f t="shared" si="16"/>
        <v>31.324999999999999</v>
      </c>
      <c r="S35" s="731">
        <f t="shared" si="16"/>
        <v>29.749999999999996</v>
      </c>
      <c r="T35" s="731">
        <f t="shared" si="16"/>
        <v>28.349999999999998</v>
      </c>
      <c r="U35" s="731">
        <f t="shared" si="16"/>
        <v>27.125</v>
      </c>
      <c r="V35" s="731">
        <f t="shared" si="16"/>
        <v>25.724999999999998</v>
      </c>
      <c r="W35" s="731">
        <f t="shared" si="16"/>
        <v>24.5</v>
      </c>
      <c r="X35" s="731">
        <f t="shared" si="16"/>
        <v>23.45</v>
      </c>
      <c r="Y35" s="731">
        <f t="shared" si="16"/>
        <v>22.4</v>
      </c>
      <c r="Z35" s="731">
        <f t="shared" si="16"/>
        <v>21.349999999999998</v>
      </c>
    </row>
    <row r="36" spans="1:26" x14ac:dyDescent="0.2">
      <c r="A36" s="472" t="s">
        <v>3025</v>
      </c>
      <c r="C36" s="731">
        <f t="shared" ref="C36:Z36" si="17">C34*0.3</f>
        <v>29.4</v>
      </c>
      <c r="D36" s="731">
        <f t="shared" si="17"/>
        <v>27.9</v>
      </c>
      <c r="E36" s="731">
        <f t="shared" si="17"/>
        <v>26.4</v>
      </c>
      <c r="F36" s="731">
        <f t="shared" si="17"/>
        <v>25.05</v>
      </c>
      <c r="G36" s="731">
        <f t="shared" si="17"/>
        <v>23.7</v>
      </c>
      <c r="H36" s="731">
        <f t="shared" si="17"/>
        <v>22.5</v>
      </c>
      <c r="I36" s="731">
        <f t="shared" si="17"/>
        <v>21.375</v>
      </c>
      <c r="J36" s="731">
        <f t="shared" si="17"/>
        <v>20.25</v>
      </c>
      <c r="K36" s="731">
        <f t="shared" si="17"/>
        <v>19.2</v>
      </c>
      <c r="L36" s="731">
        <f t="shared" si="17"/>
        <v>18.224999999999998</v>
      </c>
      <c r="M36" s="731">
        <f t="shared" si="17"/>
        <v>17.324999999999999</v>
      </c>
      <c r="N36" s="731">
        <f t="shared" si="17"/>
        <v>16.425000000000001</v>
      </c>
      <c r="O36" s="731">
        <f t="shared" si="17"/>
        <v>15.6</v>
      </c>
      <c r="P36" s="731">
        <f t="shared" si="17"/>
        <v>14.85</v>
      </c>
      <c r="Q36" s="731">
        <f t="shared" si="17"/>
        <v>14.1</v>
      </c>
      <c r="R36" s="731">
        <f t="shared" si="17"/>
        <v>13.424999999999999</v>
      </c>
      <c r="S36" s="731">
        <f t="shared" si="17"/>
        <v>12.75</v>
      </c>
      <c r="T36" s="731">
        <f t="shared" si="17"/>
        <v>12.15</v>
      </c>
      <c r="U36" s="731">
        <f t="shared" si="17"/>
        <v>11.625</v>
      </c>
      <c r="V36" s="731">
        <f t="shared" si="17"/>
        <v>11.025</v>
      </c>
      <c r="W36" s="731">
        <f t="shared" si="17"/>
        <v>10.5</v>
      </c>
      <c r="X36" s="731">
        <f t="shared" si="17"/>
        <v>10.049999999999999</v>
      </c>
      <c r="Y36" s="731">
        <f t="shared" si="17"/>
        <v>9.6</v>
      </c>
      <c r="Z36" s="731">
        <f t="shared" si="17"/>
        <v>9.15</v>
      </c>
    </row>
    <row r="37" spans="1:26" x14ac:dyDescent="0.2">
      <c r="A37" s="472" t="s">
        <v>3026</v>
      </c>
      <c r="C37" s="565">
        <v>4</v>
      </c>
      <c r="D37" s="565">
        <v>4</v>
      </c>
      <c r="E37" s="565">
        <v>3.5</v>
      </c>
      <c r="F37" s="565">
        <v>3.5</v>
      </c>
      <c r="G37" s="565">
        <v>5</v>
      </c>
      <c r="H37" s="565">
        <v>3.5</v>
      </c>
      <c r="I37" s="565">
        <v>3.5</v>
      </c>
      <c r="J37" s="565">
        <v>3.5</v>
      </c>
      <c r="K37" s="565">
        <v>3</v>
      </c>
      <c r="L37" s="565">
        <v>3</v>
      </c>
      <c r="M37" s="565">
        <v>3</v>
      </c>
      <c r="N37" s="565">
        <v>3</v>
      </c>
      <c r="O37" s="565">
        <v>3</v>
      </c>
      <c r="P37" s="565">
        <v>3</v>
      </c>
      <c r="Q37" s="565">
        <v>3</v>
      </c>
      <c r="R37" s="565">
        <v>3</v>
      </c>
      <c r="S37" s="565">
        <v>3</v>
      </c>
      <c r="T37" s="565">
        <v>3</v>
      </c>
      <c r="U37" s="565">
        <v>3</v>
      </c>
      <c r="V37" s="565">
        <v>3</v>
      </c>
      <c r="W37" s="565">
        <v>3</v>
      </c>
      <c r="X37" s="565">
        <v>3</v>
      </c>
      <c r="Y37" s="565">
        <v>3</v>
      </c>
      <c r="Z37" s="565">
        <v>3</v>
      </c>
    </row>
    <row r="38" spans="1:26" x14ac:dyDescent="0.2">
      <c r="A38" s="472" t="s">
        <v>3027</v>
      </c>
      <c r="C38" s="687">
        <f t="shared" ref="C38:Z38" si="18">C37+2*$B$6</f>
        <v>5</v>
      </c>
      <c r="D38" s="687">
        <f t="shared" si="18"/>
        <v>5</v>
      </c>
      <c r="E38" s="687">
        <f t="shared" si="18"/>
        <v>4.5</v>
      </c>
      <c r="F38" s="687">
        <f t="shared" si="18"/>
        <v>4.5</v>
      </c>
      <c r="G38" s="687">
        <f t="shared" si="18"/>
        <v>6</v>
      </c>
      <c r="H38" s="687">
        <f t="shared" si="18"/>
        <v>4.5</v>
      </c>
      <c r="I38" s="687">
        <f t="shared" si="18"/>
        <v>4.5</v>
      </c>
      <c r="J38" s="687">
        <f t="shared" si="18"/>
        <v>4.5</v>
      </c>
      <c r="K38" s="687">
        <f t="shared" si="18"/>
        <v>4</v>
      </c>
      <c r="L38" s="687">
        <f t="shared" si="18"/>
        <v>4</v>
      </c>
      <c r="M38" s="687">
        <f t="shared" si="18"/>
        <v>4</v>
      </c>
      <c r="N38" s="687">
        <f t="shared" si="18"/>
        <v>4</v>
      </c>
      <c r="O38" s="687">
        <f t="shared" si="18"/>
        <v>4</v>
      </c>
      <c r="P38" s="687">
        <f t="shared" si="18"/>
        <v>4</v>
      </c>
      <c r="Q38" s="687">
        <f t="shared" si="18"/>
        <v>4</v>
      </c>
      <c r="R38" s="687">
        <f t="shared" si="18"/>
        <v>4</v>
      </c>
      <c r="S38" s="687">
        <f t="shared" si="18"/>
        <v>4</v>
      </c>
      <c r="T38" s="687">
        <f t="shared" si="18"/>
        <v>4</v>
      </c>
      <c r="U38" s="687">
        <f t="shared" si="18"/>
        <v>4</v>
      </c>
      <c r="V38" s="687">
        <f t="shared" si="18"/>
        <v>4</v>
      </c>
      <c r="W38" s="687">
        <f t="shared" si="18"/>
        <v>4</v>
      </c>
      <c r="X38" s="687">
        <f t="shared" si="18"/>
        <v>4</v>
      </c>
      <c r="Y38" s="687">
        <f t="shared" si="18"/>
        <v>4</v>
      </c>
      <c r="Z38" s="687">
        <f t="shared" si="18"/>
        <v>4</v>
      </c>
    </row>
    <row r="39" spans="1:26" x14ac:dyDescent="0.2">
      <c r="A39" s="472" t="s">
        <v>234</v>
      </c>
      <c r="C39" s="687">
        <f t="shared" ref="C39:Z39" si="19">C15+C40</f>
        <v>93.1684332292661</v>
      </c>
      <c r="D39" s="687">
        <f t="shared" si="19"/>
        <v>88.006641702685727</v>
      </c>
      <c r="E39" s="687">
        <f t="shared" si="19"/>
        <v>82.984559273328514</v>
      </c>
      <c r="F39" s="687">
        <f t="shared" si="19"/>
        <v>78.38592581899043</v>
      </c>
      <c r="G39" s="687">
        <f t="shared" si="19"/>
        <v>74.495393828002051</v>
      </c>
      <c r="H39" s="687">
        <f t="shared" si="19"/>
        <v>69.94847717833494</v>
      </c>
      <c r="I39" s="687">
        <f t="shared" si="19"/>
        <v>66.081502791516229</v>
      </c>
      <c r="J39" s="687">
        <f t="shared" si="19"/>
        <v>62.431565000000028</v>
      </c>
      <c r="K39" s="687">
        <f t="shared" si="19"/>
        <v>58.836482475701729</v>
      </c>
      <c r="L39" s="687">
        <f t="shared" si="19"/>
        <v>55.584757575947933</v>
      </c>
      <c r="M39" s="687">
        <f t="shared" si="19"/>
        <v>52.5155379711629</v>
      </c>
      <c r="N39" s="687">
        <f t="shared" si="19"/>
        <v>49.618580426227219</v>
      </c>
      <c r="O39" s="687">
        <f t="shared" si="19"/>
        <v>46.884216614633026</v>
      </c>
      <c r="P39" s="687">
        <f t="shared" si="19"/>
        <v>44.30332085134286</v>
      </c>
      <c r="Q39" s="687">
        <f t="shared" si="19"/>
        <v>41.867279636664257</v>
      </c>
      <c r="R39" s="687">
        <f t="shared" si="19"/>
        <v>39.567962909495208</v>
      </c>
      <c r="S39" s="687">
        <f t="shared" si="19"/>
        <v>37.397696914001024</v>
      </c>
      <c r="T39" s="687">
        <f t="shared" si="19"/>
        <v>35.34923858916747</v>
      </c>
      <c r="U39" s="687">
        <f t="shared" si="19"/>
        <v>33.415751395758114</v>
      </c>
      <c r="V39" s="687">
        <f t="shared" si="19"/>
        <v>31.590782500000007</v>
      </c>
      <c r="W39" s="687">
        <f t="shared" si="19"/>
        <v>29.868241237850857</v>
      </c>
      <c r="X39" s="687">
        <f t="shared" si="19"/>
        <v>28.242378787973962</v>
      </c>
      <c r="Y39" s="687">
        <f t="shared" si="19"/>
        <v>26.707768985581442</v>
      </c>
      <c r="Z39" s="687">
        <f t="shared" si="19"/>
        <v>25.259290213113605</v>
      </c>
    </row>
    <row r="40" spans="1:26" x14ac:dyDescent="0.2">
      <c r="A40" s="472" t="s">
        <v>3017</v>
      </c>
      <c r="C40" s="687">
        <f t="shared" ref="C40:Z40" si="20">0.6*(C37/2)</f>
        <v>1.2</v>
      </c>
      <c r="D40" s="687">
        <f t="shared" si="20"/>
        <v>1.2</v>
      </c>
      <c r="E40" s="687">
        <f t="shared" si="20"/>
        <v>1.05</v>
      </c>
      <c r="F40" s="687">
        <f t="shared" si="20"/>
        <v>1.05</v>
      </c>
      <c r="G40" s="687">
        <f t="shared" si="20"/>
        <v>1.5</v>
      </c>
      <c r="H40" s="687">
        <f t="shared" si="20"/>
        <v>1.05</v>
      </c>
      <c r="I40" s="687">
        <f t="shared" si="20"/>
        <v>1.05</v>
      </c>
      <c r="J40" s="687">
        <f t="shared" si="20"/>
        <v>1.05</v>
      </c>
      <c r="K40" s="687">
        <f t="shared" si="20"/>
        <v>0.89999999999999991</v>
      </c>
      <c r="L40" s="687">
        <f t="shared" si="20"/>
        <v>0.89999999999999991</v>
      </c>
      <c r="M40" s="687">
        <f t="shared" si="20"/>
        <v>0.89999999999999991</v>
      </c>
      <c r="N40" s="687">
        <f t="shared" si="20"/>
        <v>0.89999999999999991</v>
      </c>
      <c r="O40" s="687">
        <f t="shared" si="20"/>
        <v>0.89999999999999991</v>
      </c>
      <c r="P40" s="687">
        <f t="shared" si="20"/>
        <v>0.89999999999999991</v>
      </c>
      <c r="Q40" s="687">
        <f t="shared" si="20"/>
        <v>0.89999999999999991</v>
      </c>
      <c r="R40" s="687">
        <f t="shared" si="20"/>
        <v>0.89999999999999991</v>
      </c>
      <c r="S40" s="687">
        <f t="shared" si="20"/>
        <v>0.89999999999999991</v>
      </c>
      <c r="T40" s="687">
        <f t="shared" si="20"/>
        <v>0.89999999999999991</v>
      </c>
      <c r="U40" s="687">
        <f t="shared" si="20"/>
        <v>0.89999999999999991</v>
      </c>
      <c r="V40" s="687">
        <f t="shared" si="20"/>
        <v>0.89999999999999991</v>
      </c>
      <c r="W40" s="687">
        <f t="shared" si="20"/>
        <v>0.89999999999999991</v>
      </c>
      <c r="X40" s="687">
        <f t="shared" si="20"/>
        <v>0.89999999999999991</v>
      </c>
      <c r="Y40" s="687">
        <f t="shared" si="20"/>
        <v>0.89999999999999991</v>
      </c>
      <c r="Z40" s="687">
        <f t="shared" si="20"/>
        <v>0.89999999999999991</v>
      </c>
    </row>
    <row r="42" spans="1:26" ht="15.75" x14ac:dyDescent="0.25">
      <c r="A42" s="660" t="s">
        <v>1543</v>
      </c>
    </row>
    <row r="43" spans="1:26" x14ac:dyDescent="0.2">
      <c r="A43" s="484" t="s">
        <v>610</v>
      </c>
      <c r="B43" s="484" t="s">
        <v>1545</v>
      </c>
      <c r="C43" s="484" t="s">
        <v>1546</v>
      </c>
      <c r="D43" s="484" t="s">
        <v>2704</v>
      </c>
    </row>
    <row r="44" spans="1:26" x14ac:dyDescent="0.2">
      <c r="A44">
        <v>1</v>
      </c>
      <c r="B44" t="s">
        <v>3041</v>
      </c>
      <c r="C44">
        <v>1</v>
      </c>
      <c r="D44" t="s">
        <v>3042</v>
      </c>
    </row>
    <row r="45" spans="1:26" x14ac:dyDescent="0.2">
      <c r="A45">
        <v>2</v>
      </c>
      <c r="B45" t="s">
        <v>3043</v>
      </c>
      <c r="C45">
        <v>1</v>
      </c>
      <c r="D45" t="s">
        <v>3044</v>
      </c>
    </row>
    <row r="46" spans="1:26" x14ac:dyDescent="0.2">
      <c r="A46">
        <v>3</v>
      </c>
      <c r="B46" t="s">
        <v>3045</v>
      </c>
      <c r="C46">
        <v>1</v>
      </c>
      <c r="D46" t="s">
        <v>3046</v>
      </c>
    </row>
    <row r="47" spans="1:26" x14ac:dyDescent="0.2">
      <c r="A47">
        <v>4</v>
      </c>
      <c r="B47" t="s">
        <v>3047</v>
      </c>
      <c r="C47">
        <v>1</v>
      </c>
      <c r="D47" t="s">
        <v>3048</v>
      </c>
    </row>
    <row r="48" spans="1:26" x14ac:dyDescent="0.2">
      <c r="A48">
        <v>5</v>
      </c>
      <c r="B48" t="s">
        <v>3049</v>
      </c>
      <c r="C48" t="s">
        <v>2349</v>
      </c>
      <c r="D48" t="s">
        <v>3050</v>
      </c>
    </row>
    <row r="49" spans="1:4" x14ac:dyDescent="0.2">
      <c r="A49">
        <v>6</v>
      </c>
      <c r="B49" t="s">
        <v>2734</v>
      </c>
      <c r="C49" t="s">
        <v>2735</v>
      </c>
      <c r="D49" t="s">
        <v>3051</v>
      </c>
    </row>
    <row r="50" spans="1:4" x14ac:dyDescent="0.2">
      <c r="A50">
        <v>7</v>
      </c>
      <c r="B50" t="s">
        <v>3052</v>
      </c>
      <c r="C50" t="s">
        <v>2738</v>
      </c>
      <c r="D50" t="s">
        <v>3053</v>
      </c>
    </row>
    <row r="51" spans="1:4" x14ac:dyDescent="0.2">
      <c r="A51">
        <v>8</v>
      </c>
      <c r="B51" t="s">
        <v>3054</v>
      </c>
      <c r="C51" t="s">
        <v>2349</v>
      </c>
      <c r="D51" t="s">
        <v>3055</v>
      </c>
    </row>
    <row r="53" spans="1:4" ht="15.75" x14ac:dyDescent="0.25">
      <c r="A53" s="663" t="s">
        <v>1849</v>
      </c>
    </row>
    <row r="54" spans="1:4" ht="15" x14ac:dyDescent="0.25">
      <c r="A54" s="600" t="s">
        <v>3056</v>
      </c>
    </row>
    <row r="55" spans="1:4" x14ac:dyDescent="0.2">
      <c r="A55" t="s">
        <v>3057</v>
      </c>
    </row>
    <row r="56" spans="1:4" x14ac:dyDescent="0.2">
      <c r="A56" t="s">
        <v>3058</v>
      </c>
    </row>
    <row r="57" spans="1:4" x14ac:dyDescent="0.2">
      <c r="A57" t="s">
        <v>3059</v>
      </c>
    </row>
    <row r="58" spans="1:4" x14ac:dyDescent="0.2">
      <c r="A58" t="s">
        <v>3060</v>
      </c>
    </row>
    <row r="59" spans="1:4" x14ac:dyDescent="0.2">
      <c r="A59" t="s">
        <v>3061</v>
      </c>
    </row>
    <row r="60" spans="1:4" x14ac:dyDescent="0.2">
      <c r="A60" t="s">
        <v>3062</v>
      </c>
    </row>
    <row r="61" spans="1:4" x14ac:dyDescent="0.2">
      <c r="A61" t="s">
        <v>3063</v>
      </c>
    </row>
    <row r="62" spans="1:4" x14ac:dyDescent="0.2">
      <c r="A62" t="s">
        <v>3064</v>
      </c>
    </row>
    <row r="64" spans="1:4" ht="15" x14ac:dyDescent="0.25">
      <c r="A64" s="600" t="s">
        <v>3065</v>
      </c>
    </row>
    <row r="65" spans="1:1" x14ac:dyDescent="0.2">
      <c r="A65" t="s">
        <v>3066</v>
      </c>
    </row>
    <row r="66" spans="1:1" x14ac:dyDescent="0.2">
      <c r="A66" t="s">
        <v>3067</v>
      </c>
    </row>
    <row r="67" spans="1:1" x14ac:dyDescent="0.2">
      <c r="A67" t="s">
        <v>3068</v>
      </c>
    </row>
    <row r="68" spans="1:1" x14ac:dyDescent="0.2">
      <c r="A68" t="s">
        <v>3069</v>
      </c>
    </row>
    <row r="69" spans="1:1" x14ac:dyDescent="0.2">
      <c r="A69" t="s">
        <v>3070</v>
      </c>
    </row>
    <row r="70" spans="1:1" x14ac:dyDescent="0.2">
      <c r="A70" t="s">
        <v>3071</v>
      </c>
    </row>
    <row r="71" spans="1:1" x14ac:dyDescent="0.2">
      <c r="A71" t="s">
        <v>3072</v>
      </c>
    </row>
    <row r="72" spans="1:1" x14ac:dyDescent="0.2">
      <c r="A72" t="s">
        <v>3073</v>
      </c>
    </row>
    <row r="73" spans="1:1" x14ac:dyDescent="0.2">
      <c r="A73" t="s">
        <v>3074</v>
      </c>
    </row>
    <row r="74" spans="1:1" x14ac:dyDescent="0.2">
      <c r="A74" t="s">
        <v>3075</v>
      </c>
    </row>
    <row r="75" spans="1:1" x14ac:dyDescent="0.2">
      <c r="A75" t="s">
        <v>3076</v>
      </c>
    </row>
    <row r="77" spans="1:1" ht="15" x14ac:dyDescent="0.25">
      <c r="A77" s="600" t="s">
        <v>3077</v>
      </c>
    </row>
    <row r="78" spans="1:1" x14ac:dyDescent="0.2">
      <c r="A78" t="s">
        <v>3078</v>
      </c>
    </row>
    <row r="79" spans="1:1" x14ac:dyDescent="0.2">
      <c r="A79" t="s">
        <v>3079</v>
      </c>
    </row>
    <row r="80" spans="1:1" x14ac:dyDescent="0.2">
      <c r="A80" t="s">
        <v>3080</v>
      </c>
    </row>
    <row r="82" spans="1:1" ht="15" x14ac:dyDescent="0.25">
      <c r="A82" s="617" t="s">
        <v>1532</v>
      </c>
    </row>
    <row r="83" spans="1:1" x14ac:dyDescent="0.2">
      <c r="A83" t="s">
        <v>3081</v>
      </c>
    </row>
    <row r="84" spans="1:1" x14ac:dyDescent="0.2">
      <c r="A84" t="s">
        <v>3082</v>
      </c>
    </row>
    <row r="85" spans="1:1" x14ac:dyDescent="0.2">
      <c r="A85" t="s">
        <v>3083</v>
      </c>
    </row>
    <row r="86" spans="1:1" x14ac:dyDescent="0.2">
      <c r="A86" t="s">
        <v>3084</v>
      </c>
    </row>
    <row r="87" spans="1:1" x14ac:dyDescent="0.2">
      <c r="A87" t="s">
        <v>3085</v>
      </c>
    </row>
    <row r="88" spans="1:1" x14ac:dyDescent="0.2">
      <c r="A88" t="s">
        <v>3086</v>
      </c>
    </row>
    <row r="91" spans="1:1" ht="18" x14ac:dyDescent="0.25">
      <c r="A91" s="833" t="s">
        <v>6436</v>
      </c>
    </row>
    <row r="92" spans="1:1" x14ac:dyDescent="0.2">
      <c r="A92" s="734" t="s">
        <v>6437</v>
      </c>
    </row>
    <row r="94" spans="1:1" x14ac:dyDescent="0.2">
      <c r="A94" s="609" t="s">
        <v>6324</v>
      </c>
    </row>
    <row r="95" spans="1:1" x14ac:dyDescent="0.2">
      <c r="A95" t="s">
        <v>6438</v>
      </c>
    </row>
    <row r="96" spans="1:1" x14ac:dyDescent="0.2">
      <c r="A96" s="759" t="s">
        <v>6439</v>
      </c>
    </row>
    <row r="97" spans="1:1" x14ac:dyDescent="0.2">
      <c r="A97" t="s">
        <v>6440</v>
      </c>
    </row>
    <row r="98" spans="1:1" x14ac:dyDescent="0.2">
      <c r="A98" t="s">
        <v>6441</v>
      </c>
    </row>
    <row r="100" spans="1:1" x14ac:dyDescent="0.2">
      <c r="A100" s="609" t="s">
        <v>6328</v>
      </c>
    </row>
    <row r="101" spans="1:1" x14ac:dyDescent="0.2">
      <c r="A101" t="s">
        <v>6442</v>
      </c>
    </row>
    <row r="102" spans="1:1" x14ac:dyDescent="0.2">
      <c r="A102" t="s">
        <v>6443</v>
      </c>
    </row>
    <row r="103" spans="1:1" x14ac:dyDescent="0.2">
      <c r="A103" t="s">
        <v>6444</v>
      </c>
    </row>
    <row r="104" spans="1:1" x14ac:dyDescent="0.2">
      <c r="A104" t="s">
        <v>6445</v>
      </c>
    </row>
    <row r="105" spans="1:1" x14ac:dyDescent="0.2">
      <c r="A105" t="s">
        <v>6446</v>
      </c>
    </row>
    <row r="107" spans="1:1" x14ac:dyDescent="0.2">
      <c r="A107" s="609" t="s">
        <v>6287</v>
      </c>
    </row>
    <row r="108" spans="1:1" x14ac:dyDescent="0.2">
      <c r="A108" t="s">
        <v>6447</v>
      </c>
    </row>
    <row r="109" spans="1:1" x14ac:dyDescent="0.2">
      <c r="A109" t="s">
        <v>6448</v>
      </c>
    </row>
    <row r="110" spans="1:1" x14ac:dyDescent="0.2">
      <c r="A110" t="s">
        <v>6449</v>
      </c>
    </row>
    <row r="112" spans="1:1" x14ac:dyDescent="0.2">
      <c r="A112" s="609" t="s">
        <v>6450</v>
      </c>
    </row>
    <row r="113" spans="1:1" x14ac:dyDescent="0.2">
      <c r="A113" t="s">
        <v>6451</v>
      </c>
    </row>
    <row r="114" spans="1:1" x14ac:dyDescent="0.2">
      <c r="A114" t="s">
        <v>6452</v>
      </c>
    </row>
    <row r="115" spans="1:1" x14ac:dyDescent="0.2">
      <c r="A115" t="s">
        <v>6453</v>
      </c>
    </row>
    <row r="116" spans="1:1" x14ac:dyDescent="0.2">
      <c r="A116" t="s">
        <v>6454</v>
      </c>
    </row>
    <row r="118" spans="1:1" x14ac:dyDescent="0.2">
      <c r="A118" s="609" t="s">
        <v>6455</v>
      </c>
    </row>
    <row r="119" spans="1:1" x14ac:dyDescent="0.2">
      <c r="A119" t="s">
        <v>6456</v>
      </c>
    </row>
    <row r="120" spans="1:1" x14ac:dyDescent="0.2">
      <c r="A120" t="s">
        <v>6457</v>
      </c>
    </row>
    <row r="122" spans="1:1" x14ac:dyDescent="0.2">
      <c r="A122" s="609" t="s">
        <v>6458</v>
      </c>
    </row>
    <row r="123" spans="1:1" x14ac:dyDescent="0.2">
      <c r="A123" t="s">
        <v>6459</v>
      </c>
    </row>
    <row r="124" spans="1:1" x14ac:dyDescent="0.2">
      <c r="A124" t="s">
        <v>6460</v>
      </c>
    </row>
    <row r="125" spans="1:1" x14ac:dyDescent="0.2">
      <c r="A125" t="s">
        <v>6461</v>
      </c>
    </row>
    <row r="127" spans="1:1" x14ac:dyDescent="0.2">
      <c r="A127" s="609" t="s">
        <v>6462</v>
      </c>
    </row>
    <row r="128" spans="1:1" x14ac:dyDescent="0.2">
      <c r="A128" t="s">
        <v>6463</v>
      </c>
    </row>
    <row r="129" spans="1:1" x14ac:dyDescent="0.2">
      <c r="A129" t="s">
        <v>6464</v>
      </c>
    </row>
    <row r="130" spans="1:1" x14ac:dyDescent="0.2">
      <c r="A130" t="s">
        <v>6465</v>
      </c>
    </row>
    <row r="131" spans="1:1" x14ac:dyDescent="0.2">
      <c r="A131" t="s">
        <v>6466</v>
      </c>
    </row>
    <row r="133" spans="1:1" x14ac:dyDescent="0.2">
      <c r="A133" s="609" t="s">
        <v>6467</v>
      </c>
    </row>
    <row r="134" spans="1:1" x14ac:dyDescent="0.2">
      <c r="A134" t="s">
        <v>6468</v>
      </c>
    </row>
    <row r="135" spans="1:1" x14ac:dyDescent="0.2">
      <c r="A135" t="s">
        <v>6469</v>
      </c>
    </row>
    <row r="138" spans="1:1" ht="18" x14ac:dyDescent="0.25">
      <c r="A138" s="838" t="s">
        <v>7165</v>
      </c>
    </row>
    <row r="139" spans="1:1" x14ac:dyDescent="0.2">
      <c r="A139" s="734" t="s">
        <v>7131</v>
      </c>
    </row>
    <row r="141" spans="1:1" x14ac:dyDescent="0.2">
      <c r="A141" s="839" t="s">
        <v>7132</v>
      </c>
    </row>
    <row r="142" spans="1:1" x14ac:dyDescent="0.2">
      <c r="A142" t="s">
        <v>7166</v>
      </c>
    </row>
    <row r="143" spans="1:1" x14ac:dyDescent="0.2">
      <c r="A143" t="s">
        <v>7167</v>
      </c>
    </row>
    <row r="144" spans="1:1" x14ac:dyDescent="0.2">
      <c r="A144" t="s">
        <v>7168</v>
      </c>
    </row>
    <row r="145" spans="1:1" x14ac:dyDescent="0.2">
      <c r="A145" t="s">
        <v>7169</v>
      </c>
    </row>
    <row r="146" spans="1:1" x14ac:dyDescent="0.2">
      <c r="A146" t="s">
        <v>7170</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8F55D-3F5E-402C-9600-629BF45EA27E}">
  <dimension ref="A1:K167"/>
  <sheetViews>
    <sheetView workbookViewId="0">
      <pane ySplit="3" topLeftCell="A4" activePane="bottomLeft" state="frozen"/>
      <selection pane="bottomLeft"/>
    </sheetView>
  </sheetViews>
  <sheetFormatPr defaultRowHeight="12.75" x14ac:dyDescent="0.2"/>
  <cols>
    <col min="1" max="1" width="137.140625" customWidth="1"/>
    <col min="2" max="2" width="30.42578125" customWidth="1"/>
    <col min="3" max="3" width="22.85546875" customWidth="1"/>
    <col min="4" max="4" width="26.7109375" customWidth="1"/>
    <col min="5" max="5" width="34.28515625" customWidth="1"/>
    <col min="6" max="6" width="26.7109375" customWidth="1"/>
    <col min="7" max="7" width="19" customWidth="1"/>
    <col min="8" max="8" width="15.28515625" customWidth="1"/>
    <col min="9" max="11" width="19" customWidth="1"/>
  </cols>
  <sheetData>
    <row r="1" spans="1:4" ht="18" x14ac:dyDescent="0.25">
      <c r="A1" s="470" t="s">
        <v>3934</v>
      </c>
    </row>
    <row r="2" spans="1:4" x14ac:dyDescent="0.2">
      <c r="A2" s="734" t="s">
        <v>3935</v>
      </c>
    </row>
    <row r="4" spans="1:4" ht="15" x14ac:dyDescent="0.25">
      <c r="A4" s="735" t="s">
        <v>1443</v>
      </c>
      <c r="B4" s="736"/>
      <c r="C4" s="736"/>
      <c r="D4" s="736"/>
    </row>
    <row r="5" spans="1:4" x14ac:dyDescent="0.2">
      <c r="A5" t="s">
        <v>3936</v>
      </c>
      <c r="B5" s="565">
        <v>21</v>
      </c>
      <c r="C5" t="s">
        <v>3937</v>
      </c>
    </row>
    <row r="6" spans="1:4" x14ac:dyDescent="0.2">
      <c r="A6" t="s">
        <v>3938</v>
      </c>
      <c r="B6" s="565">
        <v>9.5</v>
      </c>
      <c r="C6" t="s">
        <v>3939</v>
      </c>
    </row>
    <row r="7" spans="1:4" x14ac:dyDescent="0.2">
      <c r="A7" t="s">
        <v>3940</v>
      </c>
      <c r="B7" s="565">
        <v>1</v>
      </c>
      <c r="C7" t="s">
        <v>3941</v>
      </c>
    </row>
    <row r="8" spans="1:4" x14ac:dyDescent="0.2">
      <c r="A8" t="s">
        <v>3942</v>
      </c>
      <c r="B8" s="565">
        <v>3.5</v>
      </c>
      <c r="C8" t="s">
        <v>3943</v>
      </c>
    </row>
    <row r="9" spans="1:4" x14ac:dyDescent="0.2">
      <c r="A9" t="s">
        <v>3944</v>
      </c>
      <c r="B9" s="565">
        <v>0.5</v>
      </c>
      <c r="C9" t="s">
        <v>3945</v>
      </c>
    </row>
    <row r="10" spans="1:4" x14ac:dyDescent="0.2">
      <c r="A10" t="s">
        <v>1188</v>
      </c>
      <c r="B10" s="564" t="s">
        <v>3946</v>
      </c>
      <c r="C10" t="s">
        <v>3947</v>
      </c>
    </row>
    <row r="11" spans="1:4" x14ac:dyDescent="0.2">
      <c r="A11" t="s">
        <v>3948</v>
      </c>
      <c r="B11" s="737">
        <v>440</v>
      </c>
      <c r="C11" t="s">
        <v>3949</v>
      </c>
    </row>
    <row r="12" spans="1:4" x14ac:dyDescent="0.2">
      <c r="A12" t="s">
        <v>3950</v>
      </c>
      <c r="B12" s="737">
        <v>9</v>
      </c>
      <c r="C12" t="s">
        <v>3951</v>
      </c>
    </row>
    <row r="13" spans="1:4" x14ac:dyDescent="0.2">
      <c r="A13" t="s">
        <v>3952</v>
      </c>
      <c r="B13" s="564" t="s">
        <v>3953</v>
      </c>
      <c r="C13" t="s">
        <v>3954</v>
      </c>
    </row>
    <row r="15" spans="1:4" ht="15" x14ac:dyDescent="0.25">
      <c r="A15" s="738" t="s">
        <v>3955</v>
      </c>
      <c r="B15" s="739"/>
      <c r="C15" s="739"/>
      <c r="D15" s="739"/>
    </row>
    <row r="16" spans="1:4" x14ac:dyDescent="0.2">
      <c r="A16" t="s">
        <v>1457</v>
      </c>
      <c r="B16" s="662">
        <f>13552</f>
        <v>13552</v>
      </c>
      <c r="C16" t="s">
        <v>3956</v>
      </c>
    </row>
    <row r="17" spans="1:11" x14ac:dyDescent="0.2">
      <c r="A17" t="s">
        <v>3957</v>
      </c>
      <c r="B17" s="482">
        <f>PI()*(B8/2)^2</f>
        <v>9.6211275016187408</v>
      </c>
      <c r="C17" t="s">
        <v>3958</v>
      </c>
    </row>
    <row r="18" spans="1:11" x14ac:dyDescent="0.2">
      <c r="A18" t="s">
        <v>3959</v>
      </c>
      <c r="B18" s="481">
        <f>(4/3)*PI()*(B5/2)^2*(B6/2)</f>
        <v>2193.6170703690727</v>
      </c>
      <c r="C18" t="s">
        <v>3967</v>
      </c>
    </row>
    <row r="19" spans="1:11" x14ac:dyDescent="0.2">
      <c r="A19" t="s">
        <v>3960</v>
      </c>
      <c r="B19" s="482">
        <f>B9+0.6*(B8/2)</f>
        <v>1.55</v>
      </c>
      <c r="C19" t="s">
        <v>3961</v>
      </c>
    </row>
    <row r="20" spans="1:11" x14ac:dyDescent="0.2">
      <c r="A20" t="s">
        <v>3962</v>
      </c>
      <c r="B20" s="707">
        <f>(B16/(2*PI()))*SQRT(B17/(B18*B19))</f>
        <v>114.73350261450183</v>
      </c>
    </row>
    <row r="21" spans="1:11" x14ac:dyDescent="0.2">
      <c r="A21" t="s">
        <v>3963</v>
      </c>
      <c r="B21" s="472" t="str">
        <f>CHOOSE(MOD(ROUND(12*LOG(B20/B11,2)+69,0),12)+1,"C","C#","D","D#","E","F","F#","G","G#","A","A#","B")&amp;INT((ROUND(12*LOG(B20/B11,2)+69,0))/12-1)</f>
        <v>A#2</v>
      </c>
      <c r="C21" t="s">
        <v>3964</v>
      </c>
    </row>
    <row r="22" spans="1:11" x14ac:dyDescent="0.2">
      <c r="A22" t="s">
        <v>3965</v>
      </c>
      <c r="B22" s="481">
        <f>1200*LOG(B20/(B11*2^((ROUND(12*LOG(B20/B11,2)+69,0)-69)/12)),2)</f>
        <v>-27.060158196288583</v>
      </c>
      <c r="C22" t="s">
        <v>3966</v>
      </c>
    </row>
    <row r="24" spans="1:11" ht="15" x14ac:dyDescent="0.25">
      <c r="A24" s="743" t="s">
        <v>3968</v>
      </c>
      <c r="B24" s="744"/>
      <c r="C24" s="744"/>
      <c r="D24" s="744"/>
      <c r="E24" s="744"/>
      <c r="F24" s="744"/>
      <c r="G24" s="744"/>
      <c r="H24" s="744"/>
      <c r="I24" s="744"/>
      <c r="J24" s="744"/>
      <c r="K24" s="744"/>
    </row>
    <row r="25" spans="1:11" x14ac:dyDescent="0.2">
      <c r="A25" s="486" t="s">
        <v>3969</v>
      </c>
      <c r="B25" s="486" t="s">
        <v>3970</v>
      </c>
      <c r="C25" s="486" t="s">
        <v>3971</v>
      </c>
      <c r="D25" s="486">
        <v>1</v>
      </c>
      <c r="E25" s="486">
        <v>2</v>
      </c>
      <c r="F25" s="486">
        <v>3</v>
      </c>
      <c r="G25" s="486">
        <v>4</v>
      </c>
      <c r="H25" s="486">
        <v>5</v>
      </c>
      <c r="I25" s="486">
        <v>6</v>
      </c>
      <c r="J25" s="486">
        <v>7</v>
      </c>
      <c r="K25" s="486">
        <v>8</v>
      </c>
    </row>
    <row r="26" spans="1:11" x14ac:dyDescent="0.2">
      <c r="A26" t="s">
        <v>3953</v>
      </c>
      <c r="B26" t="s">
        <v>3972</v>
      </c>
      <c r="C26" t="s">
        <v>1277</v>
      </c>
      <c r="D26" t="s">
        <v>500</v>
      </c>
      <c r="E26" t="s">
        <v>243</v>
      </c>
      <c r="F26" t="s">
        <v>244</v>
      </c>
      <c r="G26" t="s">
        <v>24</v>
      </c>
      <c r="H26" t="s">
        <v>25</v>
      </c>
      <c r="I26" t="s">
        <v>11</v>
      </c>
      <c r="J26" t="s">
        <v>27</v>
      </c>
      <c r="K26" t="s">
        <v>29</v>
      </c>
    </row>
    <row r="27" spans="1:11" x14ac:dyDescent="0.2">
      <c r="A27" t="s">
        <v>3973</v>
      </c>
      <c r="B27" t="s">
        <v>3974</v>
      </c>
      <c r="C27" t="s">
        <v>1277</v>
      </c>
      <c r="D27" t="s">
        <v>500</v>
      </c>
      <c r="E27" t="s">
        <v>244</v>
      </c>
      <c r="F27" t="s">
        <v>24</v>
      </c>
      <c r="G27" t="s">
        <v>25</v>
      </c>
      <c r="H27" t="s">
        <v>11</v>
      </c>
      <c r="I27" t="s">
        <v>27</v>
      </c>
      <c r="J27" t="s">
        <v>29</v>
      </c>
      <c r="K27" t="s">
        <v>32</v>
      </c>
    </row>
    <row r="28" spans="1:11" x14ac:dyDescent="0.2">
      <c r="A28" t="s">
        <v>3975</v>
      </c>
      <c r="B28" t="s">
        <v>3976</v>
      </c>
      <c r="C28" t="s">
        <v>1276</v>
      </c>
      <c r="D28" t="s">
        <v>1282</v>
      </c>
      <c r="E28" t="s">
        <v>5</v>
      </c>
      <c r="F28" t="s">
        <v>1284</v>
      </c>
      <c r="G28" t="s">
        <v>1285</v>
      </c>
      <c r="H28" t="s">
        <v>1286</v>
      </c>
      <c r="I28" t="s">
        <v>31</v>
      </c>
      <c r="J28" t="s">
        <v>1288</v>
      </c>
      <c r="K28" t="s">
        <v>1289</v>
      </c>
    </row>
    <row r="29" spans="1:11" x14ac:dyDescent="0.2">
      <c r="A29" t="s">
        <v>3977</v>
      </c>
      <c r="B29" t="s">
        <v>3978</v>
      </c>
      <c r="C29" t="s">
        <v>1279</v>
      </c>
      <c r="D29" t="s">
        <v>5</v>
      </c>
      <c r="E29" t="s">
        <v>244</v>
      </c>
      <c r="F29" t="s">
        <v>1285</v>
      </c>
      <c r="G29" t="s">
        <v>25</v>
      </c>
      <c r="H29" t="s">
        <v>11</v>
      </c>
      <c r="I29" t="s">
        <v>1286</v>
      </c>
      <c r="J29" t="s">
        <v>29</v>
      </c>
      <c r="K29" t="s">
        <v>31</v>
      </c>
    </row>
    <row r="30" spans="1:11" x14ac:dyDescent="0.2">
      <c r="A30" t="s">
        <v>3979</v>
      </c>
      <c r="B30" t="s">
        <v>3980</v>
      </c>
      <c r="C30" t="s">
        <v>1277</v>
      </c>
      <c r="D30" t="s">
        <v>500</v>
      </c>
      <c r="E30" t="s">
        <v>244</v>
      </c>
      <c r="F30" t="s">
        <v>24</v>
      </c>
      <c r="G30" t="s">
        <v>25</v>
      </c>
      <c r="H30" t="s">
        <v>27</v>
      </c>
      <c r="I30" t="s">
        <v>29</v>
      </c>
      <c r="J30" t="s">
        <v>32</v>
      </c>
      <c r="K30" t="s">
        <v>34</v>
      </c>
    </row>
    <row r="31" spans="1:11" x14ac:dyDescent="0.2">
      <c r="A31" t="s">
        <v>3981</v>
      </c>
      <c r="B31" t="s">
        <v>3982</v>
      </c>
      <c r="C31" t="s">
        <v>1280</v>
      </c>
      <c r="D31" t="s">
        <v>244</v>
      </c>
      <c r="E31" t="s">
        <v>24</v>
      </c>
      <c r="F31" t="s">
        <v>11</v>
      </c>
      <c r="G31" t="s">
        <v>27</v>
      </c>
      <c r="H31" t="s">
        <v>29</v>
      </c>
      <c r="I31" t="s">
        <v>32</v>
      </c>
      <c r="J31" t="s">
        <v>34</v>
      </c>
      <c r="K31" t="s">
        <v>37</v>
      </c>
    </row>
    <row r="32" spans="1:11" x14ac:dyDescent="0.2">
      <c r="A32" t="s">
        <v>3983</v>
      </c>
      <c r="B32" t="s">
        <v>3984</v>
      </c>
      <c r="C32" t="s">
        <v>1279</v>
      </c>
      <c r="D32" t="s">
        <v>5</v>
      </c>
      <c r="E32" t="s">
        <v>244</v>
      </c>
      <c r="F32" t="s">
        <v>25</v>
      </c>
      <c r="G32" t="s">
        <v>11</v>
      </c>
      <c r="H32" t="s">
        <v>31</v>
      </c>
      <c r="I32" t="s">
        <v>32</v>
      </c>
      <c r="J32" t="s">
        <v>36</v>
      </c>
      <c r="K32" t="s">
        <v>37</v>
      </c>
    </row>
    <row r="33" spans="1:11" x14ac:dyDescent="0.2">
      <c r="A33" t="s">
        <v>3985</v>
      </c>
      <c r="B33" t="s">
        <v>3986</v>
      </c>
      <c r="C33" t="s">
        <v>1277</v>
      </c>
      <c r="D33" t="s">
        <v>500</v>
      </c>
      <c r="E33" t="s">
        <v>243</v>
      </c>
      <c r="F33" t="s">
        <v>244</v>
      </c>
      <c r="G33" t="s">
        <v>24</v>
      </c>
      <c r="H33" t="s">
        <v>25</v>
      </c>
      <c r="I33" t="s">
        <v>11</v>
      </c>
      <c r="J33" t="s">
        <v>27</v>
      </c>
      <c r="K33" t="s">
        <v>29</v>
      </c>
    </row>
    <row r="34" spans="1:11" x14ac:dyDescent="0.2">
      <c r="A34" s="734" t="s">
        <v>3987</v>
      </c>
    </row>
    <row r="36" spans="1:11" ht="15" x14ac:dyDescent="0.25">
      <c r="A36" s="764" t="s">
        <v>3988</v>
      </c>
      <c r="B36" s="765"/>
      <c r="C36" s="765"/>
      <c r="D36" s="765"/>
      <c r="E36" s="765"/>
      <c r="F36" s="765"/>
      <c r="G36" s="765"/>
      <c r="H36" s="765"/>
      <c r="I36" s="765"/>
      <c r="J36" s="765"/>
      <c r="K36" s="765"/>
    </row>
    <row r="37" spans="1:11" x14ac:dyDescent="0.2">
      <c r="A37" s="713" t="s">
        <v>3989</v>
      </c>
      <c r="B37" s="713" t="s">
        <v>3990</v>
      </c>
      <c r="C37" s="713" t="s">
        <v>1012</v>
      </c>
      <c r="D37" s="713" t="s">
        <v>3009</v>
      </c>
      <c r="E37" s="713" t="s">
        <v>3991</v>
      </c>
      <c r="F37" s="713" t="s">
        <v>3992</v>
      </c>
      <c r="G37" s="713" t="s">
        <v>3993</v>
      </c>
      <c r="H37" s="713" t="s">
        <v>3994</v>
      </c>
      <c r="I37" s="713" t="s">
        <v>3995</v>
      </c>
      <c r="J37" s="713" t="s">
        <v>3996</v>
      </c>
      <c r="K37" s="713" t="s">
        <v>3451</v>
      </c>
    </row>
    <row r="38" spans="1:11" x14ac:dyDescent="0.2">
      <c r="A38" t="s">
        <v>3997</v>
      </c>
      <c r="B38" s="564" t="s">
        <v>1277</v>
      </c>
      <c r="C38" s="564">
        <v>50</v>
      </c>
      <c r="D38" s="481">
        <f>$B$11*2^((C38-69)/12)</f>
        <v>146.83238395870382</v>
      </c>
      <c r="E38" s="481">
        <f>D38*2</f>
        <v>293.66476791740763</v>
      </c>
      <c r="F38" s="481">
        <f>D38*3</f>
        <v>440.49715187611145</v>
      </c>
      <c r="G38" t="s">
        <v>3998</v>
      </c>
      <c r="H38" t="s">
        <v>3999</v>
      </c>
      <c r="I38" t="s">
        <v>3999</v>
      </c>
      <c r="J38" t="s">
        <v>3999</v>
      </c>
      <c r="K38" t="s">
        <v>4016</v>
      </c>
    </row>
    <row r="39" spans="1:11" x14ac:dyDescent="0.2">
      <c r="A39" t="s">
        <v>4000</v>
      </c>
      <c r="B39" s="564" t="s">
        <v>500</v>
      </c>
      <c r="C39" s="564">
        <v>57</v>
      </c>
      <c r="D39" s="481">
        <f>$B$11*2^((C39-69)/12)</f>
        <v>220</v>
      </c>
      <c r="E39" s="481">
        <f>D39*2</f>
        <v>440</v>
      </c>
      <c r="F39" s="481">
        <f>D39*3</f>
        <v>660</v>
      </c>
      <c r="G39" t="s">
        <v>4001</v>
      </c>
      <c r="H39" s="767">
        <v>0.29166666666666669</v>
      </c>
      <c r="I39" s="481">
        <f>3.5*(220/D39)^0.5</f>
        <v>3.5</v>
      </c>
      <c r="J39" s="481">
        <f>I39*1.3</f>
        <v>4.55</v>
      </c>
      <c r="K39" t="s">
        <v>4017</v>
      </c>
    </row>
    <row r="40" spans="1:11" x14ac:dyDescent="0.2">
      <c r="A40" t="s">
        <v>4002</v>
      </c>
      <c r="B40" s="564" t="s">
        <v>243</v>
      </c>
      <c r="C40" s="564">
        <v>58</v>
      </c>
      <c r="D40" s="481">
        <f>$B$11*2^((C40-69)/12)</f>
        <v>233.08188075904496</v>
      </c>
      <c r="E40" s="481">
        <f>D40*2</f>
        <v>466.16376151808993</v>
      </c>
      <c r="F40" s="481">
        <f>D40*3</f>
        <v>699.24564227713495</v>
      </c>
      <c r="G40" t="s">
        <v>4003</v>
      </c>
      <c r="H40" s="767">
        <v>0.20833333333333334</v>
      </c>
      <c r="I40" s="481">
        <f t="shared" ref="I40:I46" si="0">3.5*(220/D40)^0.5</f>
        <v>3.4003617940376207</v>
      </c>
      <c r="J40" s="481">
        <f t="shared" ref="J40:J46" si="1">I40*1.3</f>
        <v>4.4204703322489074</v>
      </c>
      <c r="K40" t="s">
        <v>4017</v>
      </c>
    </row>
    <row r="41" spans="1:11" x14ac:dyDescent="0.2">
      <c r="A41" t="s">
        <v>4004</v>
      </c>
      <c r="B41" s="564" t="s">
        <v>244</v>
      </c>
      <c r="C41" s="564">
        <v>60</v>
      </c>
      <c r="D41" s="481">
        <f t="shared" ref="D41:D46" si="2">$B$11*2^((C41-69)/12)</f>
        <v>261.62556530059862</v>
      </c>
      <c r="E41" s="481">
        <f t="shared" ref="E41:E46" si="3">D41*2</f>
        <v>523.25113060119725</v>
      </c>
      <c r="F41" s="481">
        <f t="shared" ref="F41:F46" si="4">D41*3</f>
        <v>784.87669590179587</v>
      </c>
      <c r="G41" t="s">
        <v>4005</v>
      </c>
      <c r="H41" s="767">
        <v>0.375</v>
      </c>
      <c r="I41" s="481">
        <f t="shared" si="0"/>
        <v>3.2095141512163492</v>
      </c>
      <c r="J41" s="481">
        <f t="shared" si="1"/>
        <v>4.1723683965812537</v>
      </c>
      <c r="K41" t="s">
        <v>4017</v>
      </c>
    </row>
    <row r="42" spans="1:11" x14ac:dyDescent="0.2">
      <c r="A42" t="s">
        <v>4006</v>
      </c>
      <c r="B42" s="564" t="s">
        <v>24</v>
      </c>
      <c r="C42" s="564">
        <v>62</v>
      </c>
      <c r="D42" s="481">
        <f t="shared" si="2"/>
        <v>293.66476791740757</v>
      </c>
      <c r="E42" s="481">
        <f t="shared" si="3"/>
        <v>587.32953583481515</v>
      </c>
      <c r="F42" s="481">
        <f t="shared" si="4"/>
        <v>880.99430375222278</v>
      </c>
      <c r="G42" t="s">
        <v>4007</v>
      </c>
      <c r="H42" s="767">
        <v>0.125</v>
      </c>
      <c r="I42" s="481">
        <f t="shared" si="0"/>
        <v>3.0293779635215006</v>
      </c>
      <c r="J42" s="481">
        <f t="shared" si="1"/>
        <v>3.9381913525779511</v>
      </c>
      <c r="K42" t="s">
        <v>4017</v>
      </c>
    </row>
    <row r="43" spans="1:11" x14ac:dyDescent="0.2">
      <c r="A43" t="s">
        <v>4008</v>
      </c>
      <c r="B43" s="564" t="s">
        <v>25</v>
      </c>
      <c r="C43" s="564">
        <v>64</v>
      </c>
      <c r="D43" s="481">
        <f t="shared" si="2"/>
        <v>329.62755691286992</v>
      </c>
      <c r="E43" s="481">
        <f t="shared" si="3"/>
        <v>659.25511382573984</v>
      </c>
      <c r="F43" s="481">
        <f t="shared" si="4"/>
        <v>988.8826707386097</v>
      </c>
      <c r="G43" t="s">
        <v>4009</v>
      </c>
      <c r="H43" s="767">
        <v>0.41666666666666669</v>
      </c>
      <c r="I43" s="481">
        <f t="shared" si="0"/>
        <v>2.8593520431719246</v>
      </c>
      <c r="J43" s="481">
        <f t="shared" si="1"/>
        <v>3.717157656123502</v>
      </c>
      <c r="K43" t="s">
        <v>4017</v>
      </c>
    </row>
    <row r="44" spans="1:11" x14ac:dyDescent="0.2">
      <c r="A44" t="s">
        <v>4010</v>
      </c>
      <c r="B44" s="564" t="s">
        <v>11</v>
      </c>
      <c r="C44" s="564">
        <v>65</v>
      </c>
      <c r="D44" s="481">
        <f t="shared" si="2"/>
        <v>349.22823143300388</v>
      </c>
      <c r="E44" s="481">
        <f t="shared" si="3"/>
        <v>698.45646286600777</v>
      </c>
      <c r="F44" s="481">
        <f t="shared" si="4"/>
        <v>1047.6846942990117</v>
      </c>
      <c r="G44" t="s">
        <v>4011</v>
      </c>
      <c r="H44" s="767">
        <v>8.3333333333333329E-2</v>
      </c>
      <c r="I44" s="481">
        <f t="shared" si="0"/>
        <v>2.7779518409443491</v>
      </c>
      <c r="J44" s="481">
        <f t="shared" si="1"/>
        <v>3.6113373932276538</v>
      </c>
      <c r="K44" t="s">
        <v>4017</v>
      </c>
    </row>
    <row r="45" spans="1:11" x14ac:dyDescent="0.2">
      <c r="A45" t="s">
        <v>4012</v>
      </c>
      <c r="B45" s="564" t="s">
        <v>27</v>
      </c>
      <c r="C45" s="564">
        <v>67</v>
      </c>
      <c r="D45" s="481">
        <f t="shared" si="2"/>
        <v>391.99543598174927</v>
      </c>
      <c r="E45" s="481">
        <f t="shared" si="3"/>
        <v>783.99087196349853</v>
      </c>
      <c r="F45" s="481">
        <f t="shared" si="4"/>
        <v>1175.9863079452477</v>
      </c>
      <c r="G45" t="s">
        <v>4013</v>
      </c>
      <c r="H45" s="767">
        <v>0.45833333333333331</v>
      </c>
      <c r="I45" s="481">
        <f t="shared" si="0"/>
        <v>2.6220373845341927</v>
      </c>
      <c r="J45" s="481">
        <f t="shared" si="1"/>
        <v>3.4086485998944505</v>
      </c>
      <c r="K45" t="s">
        <v>4017</v>
      </c>
    </row>
    <row r="46" spans="1:11" x14ac:dyDescent="0.2">
      <c r="A46" t="s">
        <v>4014</v>
      </c>
      <c r="B46" s="564" t="s">
        <v>29</v>
      </c>
      <c r="C46" s="564">
        <v>69</v>
      </c>
      <c r="D46" s="481">
        <f t="shared" si="2"/>
        <v>440</v>
      </c>
      <c r="E46" s="481">
        <f t="shared" si="3"/>
        <v>880</v>
      </c>
      <c r="F46" s="481">
        <f t="shared" si="4"/>
        <v>1320</v>
      </c>
      <c r="G46" t="s">
        <v>4015</v>
      </c>
      <c r="H46" s="767">
        <v>4.1666666666666664E-2</v>
      </c>
      <c r="I46" s="481">
        <f t="shared" si="0"/>
        <v>2.4748737341529163</v>
      </c>
      <c r="J46" s="481">
        <f t="shared" si="1"/>
        <v>3.2173358543987916</v>
      </c>
      <c r="K46" t="s">
        <v>4017</v>
      </c>
    </row>
    <row r="48" spans="1:11" ht="15" x14ac:dyDescent="0.25">
      <c r="A48" s="738" t="s">
        <v>4018</v>
      </c>
      <c r="B48" s="739"/>
      <c r="C48" s="739"/>
      <c r="D48" s="739"/>
      <c r="E48" s="739"/>
      <c r="F48" s="739"/>
    </row>
    <row r="49" spans="1:6" x14ac:dyDescent="0.2">
      <c r="A49" s="484" t="s">
        <v>3219</v>
      </c>
      <c r="B49" s="480" t="s">
        <v>3090</v>
      </c>
      <c r="C49" s="484" t="s">
        <v>4019</v>
      </c>
      <c r="D49" s="484" t="s">
        <v>3809</v>
      </c>
      <c r="E49" s="484" t="s">
        <v>3810</v>
      </c>
      <c r="F49" s="484" t="s">
        <v>4028</v>
      </c>
    </row>
    <row r="50" spans="1:6" x14ac:dyDescent="0.2">
      <c r="A50" t="s">
        <v>4020</v>
      </c>
      <c r="B50" t="s">
        <v>4029</v>
      </c>
      <c r="C50" t="s">
        <v>4030</v>
      </c>
      <c r="D50" t="s">
        <v>4031</v>
      </c>
      <c r="E50" t="s">
        <v>4032</v>
      </c>
      <c r="F50" t="s">
        <v>4033</v>
      </c>
    </row>
    <row r="51" spans="1:6" x14ac:dyDescent="0.2">
      <c r="A51" t="s">
        <v>4034</v>
      </c>
      <c r="B51" t="s">
        <v>4035</v>
      </c>
      <c r="C51" t="s">
        <v>4036</v>
      </c>
      <c r="D51" t="s">
        <v>4037</v>
      </c>
      <c r="E51" t="s">
        <v>4038</v>
      </c>
      <c r="F51" t="s">
        <v>4039</v>
      </c>
    </row>
    <row r="52" spans="1:6" x14ac:dyDescent="0.2">
      <c r="A52" t="s">
        <v>4021</v>
      </c>
      <c r="B52" t="s">
        <v>4040</v>
      </c>
      <c r="C52" t="s">
        <v>4041</v>
      </c>
      <c r="D52" t="s">
        <v>4042</v>
      </c>
      <c r="E52" t="s">
        <v>4043</v>
      </c>
      <c r="F52" t="s">
        <v>4044</v>
      </c>
    </row>
    <row r="53" spans="1:6" x14ac:dyDescent="0.2">
      <c r="A53" t="s">
        <v>4022</v>
      </c>
      <c r="B53" t="s">
        <v>4045</v>
      </c>
      <c r="C53" t="s">
        <v>4023</v>
      </c>
      <c r="D53" t="s">
        <v>4046</v>
      </c>
      <c r="E53" t="s">
        <v>4047</v>
      </c>
      <c r="F53" t="s">
        <v>4048</v>
      </c>
    </row>
    <row r="55" spans="1:6" x14ac:dyDescent="0.2">
      <c r="A55" s="484" t="s">
        <v>4024</v>
      </c>
    </row>
    <row r="56" spans="1:6" x14ac:dyDescent="0.2">
      <c r="A56" t="s">
        <v>4025</v>
      </c>
      <c r="B56" t="s">
        <v>4026</v>
      </c>
    </row>
    <row r="57" spans="1:6" x14ac:dyDescent="0.2">
      <c r="A57" t="s">
        <v>4027</v>
      </c>
      <c r="B57" s="564" t="s">
        <v>4049</v>
      </c>
    </row>
    <row r="58" spans="1:6" x14ac:dyDescent="0.2">
      <c r="A58" t="s">
        <v>4050</v>
      </c>
      <c r="B58" t="s">
        <v>4051</v>
      </c>
    </row>
    <row r="59" spans="1:6" x14ac:dyDescent="0.2">
      <c r="A59" t="s">
        <v>4052</v>
      </c>
      <c r="B59" t="s">
        <v>4053</v>
      </c>
      <c r="C59" t="s">
        <v>4054</v>
      </c>
    </row>
    <row r="60" spans="1:6" x14ac:dyDescent="0.2">
      <c r="A60" t="s">
        <v>4055</v>
      </c>
      <c r="B60" t="s">
        <v>4056</v>
      </c>
    </row>
    <row r="62" spans="1:6" ht="15" x14ac:dyDescent="0.25">
      <c r="A62" s="735" t="s">
        <v>1543</v>
      </c>
      <c r="B62" s="736"/>
      <c r="C62" s="736"/>
      <c r="D62" s="736"/>
      <c r="E62" s="736"/>
      <c r="F62" s="736"/>
    </row>
    <row r="63" spans="1:6" x14ac:dyDescent="0.2">
      <c r="A63" s="475" t="s">
        <v>610</v>
      </c>
      <c r="B63" s="475" t="s">
        <v>1545</v>
      </c>
      <c r="C63" s="475" t="s">
        <v>1546</v>
      </c>
      <c r="D63" s="475" t="s">
        <v>4057</v>
      </c>
      <c r="E63" s="475" t="s">
        <v>1548</v>
      </c>
      <c r="F63" s="475" t="s">
        <v>1549</v>
      </c>
    </row>
    <row r="64" spans="1:6" x14ac:dyDescent="0.2">
      <c r="A64">
        <v>1</v>
      </c>
      <c r="B64" t="s">
        <v>4058</v>
      </c>
      <c r="C64">
        <v>1</v>
      </c>
      <c r="D64" t="s">
        <v>4059</v>
      </c>
      <c r="E64" t="s">
        <v>4060</v>
      </c>
      <c r="F64" s="564" t="s">
        <v>4061</v>
      </c>
    </row>
    <row r="65" spans="1:6" x14ac:dyDescent="0.2">
      <c r="A65">
        <v>2</v>
      </c>
      <c r="B65" t="s">
        <v>4062</v>
      </c>
      <c r="C65">
        <v>1</v>
      </c>
      <c r="D65" t="s">
        <v>4063</v>
      </c>
      <c r="E65" t="s">
        <v>4064</v>
      </c>
      <c r="F65" s="564" t="s">
        <v>4065</v>
      </c>
    </row>
    <row r="66" spans="1:6" x14ac:dyDescent="0.2">
      <c r="A66">
        <v>3</v>
      </c>
      <c r="B66" t="s">
        <v>4066</v>
      </c>
      <c r="C66">
        <v>1</v>
      </c>
      <c r="D66" t="s">
        <v>4067</v>
      </c>
      <c r="E66" t="s">
        <v>4068</v>
      </c>
      <c r="F66" t="s">
        <v>4069</v>
      </c>
    </row>
    <row r="67" spans="1:6" x14ac:dyDescent="0.2">
      <c r="A67">
        <v>4</v>
      </c>
      <c r="B67" t="s">
        <v>4070</v>
      </c>
      <c r="C67">
        <v>1</v>
      </c>
      <c r="D67" t="s">
        <v>4071</v>
      </c>
      <c r="E67" t="s">
        <v>4072</v>
      </c>
      <c r="F67" t="s">
        <v>4073</v>
      </c>
    </row>
    <row r="68" spans="1:6" x14ac:dyDescent="0.2">
      <c r="A68">
        <v>5</v>
      </c>
      <c r="B68" t="s">
        <v>4074</v>
      </c>
      <c r="C68">
        <v>1</v>
      </c>
      <c r="D68" t="s">
        <v>4075</v>
      </c>
      <c r="E68" t="s">
        <v>4076</v>
      </c>
      <c r="F68" t="s">
        <v>4077</v>
      </c>
    </row>
    <row r="69" spans="1:6" x14ac:dyDescent="0.2">
      <c r="A69">
        <v>6</v>
      </c>
      <c r="B69" t="s">
        <v>4078</v>
      </c>
      <c r="C69">
        <v>1</v>
      </c>
      <c r="D69" t="s">
        <v>4079</v>
      </c>
      <c r="E69" t="s">
        <v>4080</v>
      </c>
      <c r="F69" t="s">
        <v>4081</v>
      </c>
    </row>
    <row r="70" spans="1:6" x14ac:dyDescent="0.2">
      <c r="A70">
        <v>7</v>
      </c>
      <c r="B70" t="s">
        <v>4082</v>
      </c>
      <c r="C70">
        <v>1</v>
      </c>
      <c r="D70" t="s">
        <v>4083</v>
      </c>
      <c r="E70" t="s">
        <v>4084</v>
      </c>
      <c r="F70" t="s">
        <v>4085</v>
      </c>
    </row>
    <row r="71" spans="1:6" x14ac:dyDescent="0.2">
      <c r="A71">
        <v>8</v>
      </c>
      <c r="B71" t="s">
        <v>4086</v>
      </c>
      <c r="C71">
        <v>1</v>
      </c>
      <c r="D71" t="s">
        <v>4087</v>
      </c>
      <c r="E71" t="s">
        <v>4088</v>
      </c>
      <c r="F71" t="s">
        <v>4089</v>
      </c>
    </row>
    <row r="72" spans="1:6" x14ac:dyDescent="0.2">
      <c r="A72">
        <v>9</v>
      </c>
      <c r="B72" t="s">
        <v>4090</v>
      </c>
      <c r="C72">
        <v>1</v>
      </c>
      <c r="D72" t="s">
        <v>4091</v>
      </c>
      <c r="E72" t="s">
        <v>4092</v>
      </c>
      <c r="F72" t="s">
        <v>4093</v>
      </c>
    </row>
    <row r="73" spans="1:6" x14ac:dyDescent="0.2">
      <c r="A73">
        <v>10</v>
      </c>
      <c r="B73" t="s">
        <v>4094</v>
      </c>
      <c r="C73">
        <v>1</v>
      </c>
      <c r="D73" t="s">
        <v>4095</v>
      </c>
      <c r="E73" t="s">
        <v>4096</v>
      </c>
      <c r="F73" t="s">
        <v>4097</v>
      </c>
    </row>
    <row r="74" spans="1:6" x14ac:dyDescent="0.2">
      <c r="B74" s="472" t="s">
        <v>4098</v>
      </c>
      <c r="F74" s="472" t="s">
        <v>4099</v>
      </c>
    </row>
    <row r="76" spans="1:6" ht="15" x14ac:dyDescent="0.25">
      <c r="A76" s="747" t="s">
        <v>1849</v>
      </c>
      <c r="B76" s="748"/>
      <c r="C76" s="748"/>
      <c r="D76" s="748"/>
      <c r="E76" s="748"/>
      <c r="F76" s="748"/>
    </row>
    <row r="77" spans="1:6" x14ac:dyDescent="0.2">
      <c r="A77" s="768" t="s">
        <v>610</v>
      </c>
      <c r="B77" s="768" t="s">
        <v>1623</v>
      </c>
      <c r="C77" s="768" t="s">
        <v>1624</v>
      </c>
      <c r="D77" s="768" t="s">
        <v>4100</v>
      </c>
      <c r="E77" s="768" t="s">
        <v>4101</v>
      </c>
      <c r="F77" s="768" t="s">
        <v>4102</v>
      </c>
    </row>
    <row r="78" spans="1:6" x14ac:dyDescent="0.2">
      <c r="A78">
        <v>1</v>
      </c>
      <c r="B78" t="s">
        <v>4103</v>
      </c>
      <c r="C78" t="s">
        <v>4104</v>
      </c>
      <c r="D78" t="s">
        <v>4105</v>
      </c>
      <c r="E78" t="s">
        <v>4106</v>
      </c>
    </row>
    <row r="79" spans="1:6" x14ac:dyDescent="0.2">
      <c r="A79">
        <v>2</v>
      </c>
      <c r="B79" t="s">
        <v>4103</v>
      </c>
      <c r="C79" t="s">
        <v>4107</v>
      </c>
      <c r="D79" t="s">
        <v>4108</v>
      </c>
      <c r="E79" t="s">
        <v>4109</v>
      </c>
    </row>
    <row r="80" spans="1:6" x14ac:dyDescent="0.2">
      <c r="A80">
        <v>3</v>
      </c>
      <c r="B80" t="s">
        <v>4110</v>
      </c>
      <c r="C80" t="s">
        <v>4111</v>
      </c>
      <c r="D80" t="s">
        <v>4112</v>
      </c>
      <c r="E80" t="s">
        <v>4113</v>
      </c>
    </row>
    <row r="81" spans="1:6" x14ac:dyDescent="0.2">
      <c r="A81">
        <v>4</v>
      </c>
      <c r="B81" t="s">
        <v>3808</v>
      </c>
      <c r="C81" t="s">
        <v>4114</v>
      </c>
      <c r="D81" t="s">
        <v>4115</v>
      </c>
      <c r="E81" t="s">
        <v>4116</v>
      </c>
    </row>
    <row r="82" spans="1:6" x14ac:dyDescent="0.2">
      <c r="A82">
        <v>5</v>
      </c>
      <c r="B82" t="s">
        <v>3808</v>
      </c>
      <c r="C82" t="s">
        <v>4117</v>
      </c>
      <c r="D82" t="s">
        <v>4118</v>
      </c>
      <c r="E82" t="s">
        <v>4119</v>
      </c>
    </row>
    <row r="83" spans="1:6" x14ac:dyDescent="0.2">
      <c r="A83">
        <v>6</v>
      </c>
      <c r="B83" t="s">
        <v>4120</v>
      </c>
      <c r="C83" t="s">
        <v>4121</v>
      </c>
      <c r="D83" t="s">
        <v>4122</v>
      </c>
      <c r="E83" t="s">
        <v>4123</v>
      </c>
    </row>
    <row r="84" spans="1:6" x14ac:dyDescent="0.2">
      <c r="A84">
        <v>7</v>
      </c>
      <c r="B84" t="s">
        <v>4124</v>
      </c>
      <c r="C84" t="s">
        <v>4125</v>
      </c>
      <c r="D84" t="s">
        <v>4126</v>
      </c>
      <c r="E84" t="s">
        <v>4127</v>
      </c>
    </row>
    <row r="85" spans="1:6" x14ac:dyDescent="0.2">
      <c r="A85">
        <v>8</v>
      </c>
      <c r="B85" t="s">
        <v>4128</v>
      </c>
      <c r="C85" t="s">
        <v>4129</v>
      </c>
      <c r="D85" t="s">
        <v>4130</v>
      </c>
      <c r="E85" t="s">
        <v>4131</v>
      </c>
    </row>
    <row r="86" spans="1:6" x14ac:dyDescent="0.2">
      <c r="A86">
        <v>9</v>
      </c>
      <c r="B86" t="s">
        <v>2410</v>
      </c>
      <c r="C86" t="s">
        <v>4132</v>
      </c>
      <c r="D86" t="s">
        <v>4133</v>
      </c>
      <c r="E86" t="s">
        <v>4134</v>
      </c>
    </row>
    <row r="87" spans="1:6" x14ac:dyDescent="0.2">
      <c r="A87">
        <v>10</v>
      </c>
      <c r="B87" t="s">
        <v>2410</v>
      </c>
      <c r="C87" t="s">
        <v>4135</v>
      </c>
      <c r="D87" t="s">
        <v>4136</v>
      </c>
      <c r="E87" t="s">
        <v>4137</v>
      </c>
    </row>
    <row r="88" spans="1:6" x14ac:dyDescent="0.2">
      <c r="A88">
        <v>11</v>
      </c>
      <c r="B88" t="s">
        <v>2410</v>
      </c>
      <c r="C88" t="s">
        <v>4138</v>
      </c>
      <c r="D88" t="s">
        <v>4139</v>
      </c>
      <c r="E88" t="s">
        <v>4140</v>
      </c>
    </row>
    <row r="89" spans="1:6" x14ac:dyDescent="0.2">
      <c r="A89">
        <v>12</v>
      </c>
      <c r="B89" t="s">
        <v>2410</v>
      </c>
      <c r="C89" t="s">
        <v>4141</v>
      </c>
      <c r="D89" t="s">
        <v>4139</v>
      </c>
      <c r="E89" t="s">
        <v>4142</v>
      </c>
    </row>
    <row r="90" spans="1:6" x14ac:dyDescent="0.2">
      <c r="A90">
        <v>13</v>
      </c>
      <c r="B90" t="s">
        <v>1734</v>
      </c>
      <c r="C90" t="s">
        <v>4143</v>
      </c>
      <c r="D90" t="s">
        <v>4144</v>
      </c>
      <c r="E90" t="s">
        <v>4145</v>
      </c>
    </row>
    <row r="91" spans="1:6" x14ac:dyDescent="0.2">
      <c r="A91">
        <v>14</v>
      </c>
      <c r="B91" t="s">
        <v>4146</v>
      </c>
      <c r="C91" t="s">
        <v>4147</v>
      </c>
      <c r="D91" t="s">
        <v>4148</v>
      </c>
      <c r="E91" t="s">
        <v>4149</v>
      </c>
    </row>
    <row r="92" spans="1:6" x14ac:dyDescent="0.2">
      <c r="A92">
        <v>15</v>
      </c>
      <c r="B92" t="s">
        <v>4146</v>
      </c>
      <c r="C92" t="s">
        <v>4150</v>
      </c>
      <c r="D92" t="s">
        <v>4151</v>
      </c>
      <c r="E92" t="s">
        <v>4152</v>
      </c>
    </row>
    <row r="93" spans="1:6" x14ac:dyDescent="0.2">
      <c r="A93">
        <v>16</v>
      </c>
      <c r="B93" t="s">
        <v>1595</v>
      </c>
      <c r="C93" t="s">
        <v>4153</v>
      </c>
      <c r="D93" t="s">
        <v>4154</v>
      </c>
      <c r="E93" t="s">
        <v>4155</v>
      </c>
    </row>
    <row r="95" spans="1:6" ht="15" x14ac:dyDescent="0.25">
      <c r="A95" s="751" t="s">
        <v>1532</v>
      </c>
      <c r="B95" s="752"/>
      <c r="C95" s="752"/>
      <c r="D95" s="752"/>
      <c r="E95" s="752"/>
      <c r="F95" s="752"/>
    </row>
    <row r="96" spans="1:6" x14ac:dyDescent="0.2">
      <c r="A96" t="s">
        <v>4156</v>
      </c>
    </row>
    <row r="97" spans="1:1" x14ac:dyDescent="0.2">
      <c r="A97" t="s">
        <v>4157</v>
      </c>
    </row>
    <row r="98" spans="1:1" x14ac:dyDescent="0.2">
      <c r="A98" t="s">
        <v>4158</v>
      </c>
    </row>
    <row r="99" spans="1:1" x14ac:dyDescent="0.2">
      <c r="A99" t="s">
        <v>4159</v>
      </c>
    </row>
    <row r="100" spans="1:1" x14ac:dyDescent="0.2">
      <c r="A100" t="s">
        <v>4160</v>
      </c>
    </row>
    <row r="101" spans="1:1" x14ac:dyDescent="0.2">
      <c r="A101" t="s">
        <v>4161</v>
      </c>
    </row>
    <row r="102" spans="1:1" x14ac:dyDescent="0.2">
      <c r="A102" t="s">
        <v>4162</v>
      </c>
    </row>
    <row r="103" spans="1:1" x14ac:dyDescent="0.2">
      <c r="A103" t="s">
        <v>4163</v>
      </c>
    </row>
    <row r="104" spans="1:1" x14ac:dyDescent="0.2">
      <c r="A104" t="s">
        <v>4164</v>
      </c>
    </row>
    <row r="105" spans="1:1" x14ac:dyDescent="0.2">
      <c r="A105" t="s">
        <v>4165</v>
      </c>
    </row>
    <row r="108" spans="1:1" ht="18" x14ac:dyDescent="0.25">
      <c r="A108" s="833" t="s">
        <v>6373</v>
      </c>
    </row>
    <row r="109" spans="1:1" x14ac:dyDescent="0.2">
      <c r="A109" s="734" t="s">
        <v>6374</v>
      </c>
    </row>
    <row r="111" spans="1:1" x14ac:dyDescent="0.2">
      <c r="A111" s="609" t="s">
        <v>6324</v>
      </c>
    </row>
    <row r="112" spans="1:1" x14ac:dyDescent="0.2">
      <c r="A112" t="s">
        <v>6375</v>
      </c>
    </row>
    <row r="113" spans="1:1" x14ac:dyDescent="0.2">
      <c r="A113" s="759" t="s">
        <v>6376</v>
      </c>
    </row>
    <row r="114" spans="1:1" x14ac:dyDescent="0.2">
      <c r="A114" t="s">
        <v>6377</v>
      </c>
    </row>
    <row r="115" spans="1:1" x14ac:dyDescent="0.2">
      <c r="A115" t="s">
        <v>6378</v>
      </c>
    </row>
    <row r="117" spans="1:1" x14ac:dyDescent="0.2">
      <c r="A117" s="609" t="s">
        <v>6328</v>
      </c>
    </row>
    <row r="118" spans="1:1" x14ac:dyDescent="0.2">
      <c r="A118" t="s">
        <v>6379</v>
      </c>
    </row>
    <row r="119" spans="1:1" x14ac:dyDescent="0.2">
      <c r="A119" t="s">
        <v>6380</v>
      </c>
    </row>
    <row r="120" spans="1:1" x14ac:dyDescent="0.2">
      <c r="A120" t="s">
        <v>6381</v>
      </c>
    </row>
    <row r="121" spans="1:1" x14ac:dyDescent="0.2">
      <c r="A121" t="s">
        <v>6382</v>
      </c>
    </row>
    <row r="122" spans="1:1" x14ac:dyDescent="0.2">
      <c r="A122" t="s">
        <v>6383</v>
      </c>
    </row>
    <row r="123" spans="1:1" x14ac:dyDescent="0.2">
      <c r="A123" t="s">
        <v>6384</v>
      </c>
    </row>
    <row r="125" spans="1:1" x14ac:dyDescent="0.2">
      <c r="A125" s="609" t="s">
        <v>6287</v>
      </c>
    </row>
    <row r="126" spans="1:1" x14ac:dyDescent="0.2">
      <c r="A126" t="s">
        <v>6385</v>
      </c>
    </row>
    <row r="127" spans="1:1" x14ac:dyDescent="0.2">
      <c r="A127" t="s">
        <v>6386</v>
      </c>
    </row>
    <row r="128" spans="1:1" x14ac:dyDescent="0.2">
      <c r="A128" t="s">
        <v>6387</v>
      </c>
    </row>
    <row r="129" spans="1:1" x14ac:dyDescent="0.2">
      <c r="A129" t="s">
        <v>6388</v>
      </c>
    </row>
    <row r="131" spans="1:1" x14ac:dyDescent="0.2">
      <c r="A131" s="609" t="s">
        <v>6294</v>
      </c>
    </row>
    <row r="132" spans="1:1" x14ac:dyDescent="0.2">
      <c r="A132" t="s">
        <v>6389</v>
      </c>
    </row>
    <row r="133" spans="1:1" x14ac:dyDescent="0.2">
      <c r="A133" t="s">
        <v>6390</v>
      </c>
    </row>
    <row r="134" spans="1:1" x14ac:dyDescent="0.2">
      <c r="A134" t="s">
        <v>6391</v>
      </c>
    </row>
    <row r="135" spans="1:1" x14ac:dyDescent="0.2">
      <c r="A135" t="s">
        <v>6392</v>
      </c>
    </row>
    <row r="137" spans="1:1" x14ac:dyDescent="0.2">
      <c r="A137" s="609" t="s">
        <v>6393</v>
      </c>
    </row>
    <row r="138" spans="1:1" x14ac:dyDescent="0.2">
      <c r="A138" t="s">
        <v>6394</v>
      </c>
    </row>
    <row r="139" spans="1:1" x14ac:dyDescent="0.2">
      <c r="A139" t="s">
        <v>6395</v>
      </c>
    </row>
    <row r="141" spans="1:1" x14ac:dyDescent="0.2">
      <c r="A141" s="609" t="s">
        <v>6306</v>
      </c>
    </row>
    <row r="142" spans="1:1" x14ac:dyDescent="0.2">
      <c r="A142" t="s">
        <v>6396</v>
      </c>
    </row>
    <row r="143" spans="1:1" x14ac:dyDescent="0.2">
      <c r="A143" t="s">
        <v>6397</v>
      </c>
    </row>
    <row r="144" spans="1:1" x14ac:dyDescent="0.2">
      <c r="A144" t="s">
        <v>6398</v>
      </c>
    </row>
    <row r="145" spans="1:1" x14ac:dyDescent="0.2">
      <c r="A145" t="s">
        <v>6399</v>
      </c>
    </row>
    <row r="147" spans="1:1" x14ac:dyDescent="0.2">
      <c r="A147" s="609" t="s">
        <v>6311</v>
      </c>
    </row>
    <row r="148" spans="1:1" x14ac:dyDescent="0.2">
      <c r="A148" t="s">
        <v>6400</v>
      </c>
    </row>
    <row r="149" spans="1:1" x14ac:dyDescent="0.2">
      <c r="A149" t="s">
        <v>6401</v>
      </c>
    </row>
    <row r="150" spans="1:1" x14ac:dyDescent="0.2">
      <c r="A150" t="s">
        <v>6402</v>
      </c>
    </row>
    <row r="151" spans="1:1" x14ac:dyDescent="0.2">
      <c r="A151" t="s">
        <v>6403</v>
      </c>
    </row>
    <row r="153" spans="1:1" x14ac:dyDescent="0.2">
      <c r="A153" s="609" t="s">
        <v>6318</v>
      </c>
    </row>
    <row r="154" spans="1:1" x14ac:dyDescent="0.2">
      <c r="A154" t="s">
        <v>6404</v>
      </c>
    </row>
    <row r="155" spans="1:1" x14ac:dyDescent="0.2">
      <c r="A155" t="s">
        <v>6405</v>
      </c>
    </row>
    <row r="158" spans="1:1" ht="18" x14ac:dyDescent="0.25">
      <c r="A158" s="838" t="s">
        <v>7152</v>
      </c>
    </row>
    <row r="159" spans="1:1" x14ac:dyDescent="0.2">
      <c r="A159" s="734" t="s">
        <v>7131</v>
      </c>
    </row>
    <row r="161" spans="1:1" x14ac:dyDescent="0.2">
      <c r="A161" s="839" t="s">
        <v>7132</v>
      </c>
    </row>
    <row r="162" spans="1:1" x14ac:dyDescent="0.2">
      <c r="A162" t="s">
        <v>7153</v>
      </c>
    </row>
    <row r="163" spans="1:1" x14ac:dyDescent="0.2">
      <c r="A163" t="s">
        <v>7154</v>
      </c>
    </row>
    <row r="164" spans="1:1" x14ac:dyDescent="0.2">
      <c r="A164" t="s">
        <v>7155</v>
      </c>
    </row>
    <row r="165" spans="1:1" x14ac:dyDescent="0.2">
      <c r="A165" t="s">
        <v>7156</v>
      </c>
    </row>
    <row r="166" spans="1:1" x14ac:dyDescent="0.2">
      <c r="A166" t="s">
        <v>7157</v>
      </c>
    </row>
    <row r="167" spans="1:1" x14ac:dyDescent="0.2">
      <c r="A167" t="s">
        <v>7158</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H130"/>
  <sheetViews>
    <sheetView workbookViewId="0">
      <pane xSplit="2" ySplit="1" topLeftCell="C11" activePane="bottomRight" state="frozen"/>
      <selection pane="topRight" activeCell="C1" sqref="C1"/>
      <selection pane="bottomLeft" activeCell="A2" sqref="A2"/>
      <selection pane="bottomRight" activeCell="Y94" sqref="Y94"/>
    </sheetView>
  </sheetViews>
  <sheetFormatPr defaultColWidth="12.5703125" defaultRowHeight="15" customHeight="1" x14ac:dyDescent="0.2"/>
  <cols>
    <col min="1" max="1" width="137.140625" customWidth="1"/>
    <col min="2" max="2" width="24.42578125" customWidth="1"/>
    <col min="3" max="34" width="8" customWidth="1"/>
  </cols>
  <sheetData>
    <row r="1" spans="1:34" ht="15" customHeight="1" x14ac:dyDescent="0.2">
      <c r="A1" s="206" t="s">
        <v>203</v>
      </c>
      <c r="B1" s="206" t="s">
        <v>204</v>
      </c>
      <c r="C1" s="207" t="s">
        <v>205</v>
      </c>
      <c r="D1" s="207" t="s">
        <v>206</v>
      </c>
      <c r="E1" s="208" t="s">
        <v>207</v>
      </c>
      <c r="F1" s="208" t="s">
        <v>208</v>
      </c>
      <c r="G1" s="209" t="s">
        <v>209</v>
      </c>
      <c r="H1" s="209" t="s">
        <v>6</v>
      </c>
      <c r="I1" s="210" t="s">
        <v>7</v>
      </c>
      <c r="J1" s="210" t="s">
        <v>8</v>
      </c>
      <c r="K1" s="210" t="s">
        <v>9</v>
      </c>
      <c r="L1" s="211" t="s">
        <v>10</v>
      </c>
      <c r="M1" s="211" t="s">
        <v>11</v>
      </c>
      <c r="N1" s="211" t="s">
        <v>12</v>
      </c>
      <c r="O1" s="212" t="s">
        <v>13</v>
      </c>
      <c r="P1" s="212" t="s">
        <v>14</v>
      </c>
      <c r="Q1" s="212" t="s">
        <v>15</v>
      </c>
      <c r="R1" s="212" t="s">
        <v>16</v>
      </c>
      <c r="S1" s="213" t="s">
        <v>17</v>
      </c>
      <c r="T1" s="213" t="s">
        <v>18</v>
      </c>
      <c r="U1" s="213" t="s">
        <v>19</v>
      </c>
      <c r="V1" s="213" t="s">
        <v>20</v>
      </c>
      <c r="W1" s="214" t="s">
        <v>35</v>
      </c>
      <c r="X1" s="214" t="s">
        <v>210</v>
      </c>
      <c r="Y1" s="215" t="s">
        <v>211</v>
      </c>
      <c r="Z1" s="215" t="s">
        <v>45</v>
      </c>
      <c r="AA1" s="215" t="s">
        <v>212</v>
      </c>
      <c r="AB1" s="170" t="s">
        <v>213</v>
      </c>
      <c r="AC1" s="170" t="s">
        <v>47</v>
      </c>
      <c r="AD1" s="170" t="s">
        <v>50</v>
      </c>
      <c r="AE1" s="170" t="s">
        <v>54</v>
      </c>
      <c r="AF1" s="216" t="s">
        <v>55</v>
      </c>
      <c r="AG1" s="216" t="s">
        <v>214</v>
      </c>
      <c r="AH1" s="216" t="s">
        <v>58</v>
      </c>
    </row>
    <row r="2" spans="1:34" ht="15" customHeight="1" x14ac:dyDescent="0.2">
      <c r="A2" s="206"/>
      <c r="B2" s="206" t="s">
        <v>1</v>
      </c>
      <c r="C2" s="207">
        <v>35</v>
      </c>
      <c r="D2" s="207">
        <v>36</v>
      </c>
      <c r="E2" s="208">
        <v>37</v>
      </c>
      <c r="F2" s="208">
        <v>38</v>
      </c>
      <c r="G2" s="209">
        <v>39</v>
      </c>
      <c r="H2" s="209">
        <v>40</v>
      </c>
      <c r="I2" s="210">
        <v>41</v>
      </c>
      <c r="J2" s="210">
        <v>42</v>
      </c>
      <c r="K2" s="210">
        <v>43</v>
      </c>
      <c r="L2" s="211">
        <v>44</v>
      </c>
      <c r="M2" s="211">
        <v>45</v>
      </c>
      <c r="N2" s="211">
        <v>46</v>
      </c>
      <c r="O2" s="212">
        <v>47</v>
      </c>
      <c r="P2" s="212">
        <v>48</v>
      </c>
      <c r="Q2" s="212">
        <v>49</v>
      </c>
      <c r="R2" s="212">
        <v>50</v>
      </c>
      <c r="S2" s="213">
        <v>51</v>
      </c>
      <c r="T2" s="213">
        <v>52</v>
      </c>
      <c r="U2" s="213">
        <v>53</v>
      </c>
      <c r="V2" s="213">
        <v>54</v>
      </c>
      <c r="W2" s="214">
        <v>55</v>
      </c>
      <c r="X2" s="214">
        <v>56</v>
      </c>
      <c r="Y2" s="215">
        <v>57</v>
      </c>
      <c r="Z2" s="215">
        <v>58</v>
      </c>
      <c r="AA2" s="215">
        <v>59</v>
      </c>
      <c r="AB2" s="170">
        <v>60</v>
      </c>
      <c r="AC2" s="170">
        <v>61</v>
      </c>
      <c r="AD2" s="170">
        <v>62</v>
      </c>
      <c r="AE2" s="170">
        <v>63</v>
      </c>
      <c r="AF2" s="216">
        <v>64</v>
      </c>
      <c r="AG2" s="216">
        <v>65</v>
      </c>
      <c r="AH2" s="216">
        <v>66</v>
      </c>
    </row>
    <row r="3" spans="1:34" ht="15" customHeight="1" x14ac:dyDescent="0.2">
      <c r="A3" s="217" t="s">
        <v>61</v>
      </c>
      <c r="B3" s="218" t="s">
        <v>215</v>
      </c>
      <c r="C3" s="219">
        <f t="shared" ref="C3:AH3" si="0">CEILING((C8+C9+C10+C11+C12),0.25)</f>
        <v>40</v>
      </c>
      <c r="D3" s="219">
        <f t="shared" si="0"/>
        <v>38.25</v>
      </c>
      <c r="E3" s="220">
        <f t="shared" si="0"/>
        <v>35.75</v>
      </c>
      <c r="F3" s="220">
        <f t="shared" si="0"/>
        <v>34</v>
      </c>
      <c r="G3" s="221">
        <f t="shared" si="0"/>
        <v>33.75</v>
      </c>
      <c r="H3" s="221">
        <f t="shared" si="0"/>
        <v>32.25</v>
      </c>
      <c r="I3" s="222">
        <f t="shared" si="0"/>
        <v>30.75</v>
      </c>
      <c r="J3" s="222">
        <f t="shared" si="0"/>
        <v>29.25</v>
      </c>
      <c r="K3" s="222">
        <f t="shared" si="0"/>
        <v>28</v>
      </c>
      <c r="L3" s="223">
        <f t="shared" si="0"/>
        <v>27</v>
      </c>
      <c r="M3" s="223">
        <f t="shared" si="0"/>
        <v>26</v>
      </c>
      <c r="N3" s="223">
        <f t="shared" si="0"/>
        <v>24.75</v>
      </c>
      <c r="O3" s="224">
        <f t="shared" si="0"/>
        <v>23.5</v>
      </c>
      <c r="P3" s="224">
        <f t="shared" si="0"/>
        <v>22.5</v>
      </c>
      <c r="Q3" s="224">
        <f t="shared" si="0"/>
        <v>21.75</v>
      </c>
      <c r="R3" s="224">
        <f t="shared" si="0"/>
        <v>21.25</v>
      </c>
      <c r="S3" s="225">
        <f t="shared" si="0"/>
        <v>20</v>
      </c>
      <c r="T3" s="225">
        <f t="shared" si="0"/>
        <v>19</v>
      </c>
      <c r="U3" s="225">
        <f t="shared" si="0"/>
        <v>18.5</v>
      </c>
      <c r="V3" s="225">
        <f t="shared" si="0"/>
        <v>18.25</v>
      </c>
      <c r="W3" s="226">
        <f t="shared" si="0"/>
        <v>17.25</v>
      </c>
      <c r="X3" s="226">
        <f t="shared" si="0"/>
        <v>16.5</v>
      </c>
      <c r="Y3" s="227">
        <f t="shared" si="0"/>
        <v>16</v>
      </c>
      <c r="Z3" s="227">
        <f t="shared" si="0"/>
        <v>15.5</v>
      </c>
      <c r="AA3" s="227">
        <f t="shared" si="0"/>
        <v>15</v>
      </c>
      <c r="AB3" s="74">
        <f t="shared" si="0"/>
        <v>12</v>
      </c>
      <c r="AC3" s="74">
        <f t="shared" si="0"/>
        <v>11.75</v>
      </c>
      <c r="AD3" s="74">
        <f t="shared" si="0"/>
        <v>11.25</v>
      </c>
      <c r="AE3" s="74">
        <f t="shared" si="0"/>
        <v>10.75</v>
      </c>
      <c r="AF3" s="228">
        <f t="shared" si="0"/>
        <v>10.25</v>
      </c>
      <c r="AG3" s="228">
        <f t="shared" si="0"/>
        <v>9.75</v>
      </c>
      <c r="AH3" s="228">
        <f t="shared" si="0"/>
        <v>9.25</v>
      </c>
    </row>
    <row r="4" spans="1:34" ht="15" customHeight="1" x14ac:dyDescent="0.2">
      <c r="A4" s="217" t="s">
        <v>70</v>
      </c>
      <c r="B4" s="218" t="s">
        <v>216</v>
      </c>
      <c r="C4" s="219">
        <v>2.25</v>
      </c>
      <c r="D4" s="219">
        <v>2.25</v>
      </c>
      <c r="E4" s="220">
        <v>2</v>
      </c>
      <c r="F4" s="220">
        <v>2</v>
      </c>
      <c r="G4" s="221">
        <v>2</v>
      </c>
      <c r="H4" s="221">
        <v>2</v>
      </c>
      <c r="I4" s="222">
        <v>1.75</v>
      </c>
      <c r="J4" s="222">
        <v>1.75</v>
      </c>
      <c r="K4" s="222">
        <v>1.75</v>
      </c>
      <c r="L4" s="223">
        <v>1.5</v>
      </c>
      <c r="M4" s="223">
        <v>1.5</v>
      </c>
      <c r="N4" s="223">
        <v>1.5</v>
      </c>
      <c r="O4" s="224">
        <v>1.5</v>
      </c>
      <c r="P4" s="224">
        <v>1.5</v>
      </c>
      <c r="Q4" s="224">
        <v>1.5</v>
      </c>
      <c r="R4" s="224">
        <v>1.5</v>
      </c>
      <c r="S4" s="225">
        <v>1.25</v>
      </c>
      <c r="T4" s="225">
        <v>1.25</v>
      </c>
      <c r="U4" s="225">
        <v>1.25</v>
      </c>
      <c r="V4" s="225">
        <v>1.25</v>
      </c>
      <c r="W4" s="226">
        <v>1</v>
      </c>
      <c r="X4" s="226">
        <v>1</v>
      </c>
      <c r="Y4" s="229">
        <v>0.875</v>
      </c>
      <c r="Z4" s="229">
        <v>0.875</v>
      </c>
      <c r="AA4" s="229">
        <v>0.875</v>
      </c>
      <c r="AB4" s="106">
        <f t="shared" ref="AB4:AH4" si="1">2*AB5</f>
        <v>0.875</v>
      </c>
      <c r="AC4" s="106">
        <f t="shared" si="1"/>
        <v>0.875</v>
      </c>
      <c r="AD4" s="106">
        <f t="shared" si="1"/>
        <v>0.875</v>
      </c>
      <c r="AE4" s="106">
        <f t="shared" si="1"/>
        <v>0.875</v>
      </c>
      <c r="AF4" s="230">
        <f t="shared" si="1"/>
        <v>0.75</v>
      </c>
      <c r="AG4" s="230">
        <f t="shared" si="1"/>
        <v>0.75</v>
      </c>
      <c r="AH4" s="230">
        <f t="shared" si="1"/>
        <v>0.75</v>
      </c>
    </row>
    <row r="5" spans="1:34" ht="15" customHeight="1" x14ac:dyDescent="0.2">
      <c r="A5" s="231" t="s">
        <v>73</v>
      </c>
      <c r="B5" s="232" t="s">
        <v>217</v>
      </c>
      <c r="C5" s="233">
        <v>1.125</v>
      </c>
      <c r="D5" s="233">
        <v>1.125</v>
      </c>
      <c r="E5" s="234">
        <v>1</v>
      </c>
      <c r="F5" s="234">
        <v>1</v>
      </c>
      <c r="G5" s="235">
        <v>1</v>
      </c>
      <c r="H5" s="235">
        <v>1</v>
      </c>
      <c r="I5" s="236">
        <v>0.875</v>
      </c>
      <c r="J5" s="236">
        <v>0.875</v>
      </c>
      <c r="K5" s="236">
        <v>0.875</v>
      </c>
      <c r="L5" s="237">
        <v>0.75</v>
      </c>
      <c r="M5" s="237">
        <v>0.75</v>
      </c>
      <c r="N5" s="237">
        <v>0.75</v>
      </c>
      <c r="O5" s="238">
        <v>0.75</v>
      </c>
      <c r="P5" s="238">
        <v>0.75</v>
      </c>
      <c r="Q5" s="238">
        <v>0.75</v>
      </c>
      <c r="R5" s="238">
        <v>0.75</v>
      </c>
      <c r="S5" s="239">
        <v>0.625</v>
      </c>
      <c r="T5" s="239">
        <v>0.625</v>
      </c>
      <c r="U5" s="239">
        <v>0.625</v>
      </c>
      <c r="V5" s="239">
        <v>0.625</v>
      </c>
      <c r="W5" s="240">
        <v>0.5</v>
      </c>
      <c r="X5" s="240">
        <v>0.5</v>
      </c>
      <c r="Y5" s="229">
        <v>0.4375</v>
      </c>
      <c r="Z5" s="229">
        <v>0.4375</v>
      </c>
      <c r="AA5" s="229">
        <v>0.4375</v>
      </c>
      <c r="AB5" s="241">
        <v>0.4375</v>
      </c>
      <c r="AC5" s="241">
        <v>0.4375</v>
      </c>
      <c r="AD5" s="241">
        <v>0.4375</v>
      </c>
      <c r="AE5" s="241">
        <v>0.4375</v>
      </c>
      <c r="AF5" s="230">
        <v>0.375</v>
      </c>
      <c r="AG5" s="230">
        <v>0.375</v>
      </c>
      <c r="AH5" s="230">
        <v>0.375</v>
      </c>
    </row>
    <row r="6" spans="1:34" ht="15" customHeight="1" x14ac:dyDescent="0.2">
      <c r="A6" s="231"/>
      <c r="B6" s="232" t="s">
        <v>218</v>
      </c>
      <c r="C6" s="233">
        <f t="shared" ref="C6:AH6" si="2">C3*C4</f>
        <v>90</v>
      </c>
      <c r="D6" s="233">
        <f t="shared" si="2"/>
        <v>86.0625</v>
      </c>
      <c r="E6" s="233">
        <f t="shared" si="2"/>
        <v>71.5</v>
      </c>
      <c r="F6" s="233">
        <f t="shared" si="2"/>
        <v>68</v>
      </c>
      <c r="G6" s="233">
        <f t="shared" si="2"/>
        <v>67.5</v>
      </c>
      <c r="H6" s="233">
        <f t="shared" si="2"/>
        <v>64.5</v>
      </c>
      <c r="I6" s="233">
        <f t="shared" si="2"/>
        <v>53.8125</v>
      </c>
      <c r="J6" s="233">
        <f t="shared" si="2"/>
        <v>51.1875</v>
      </c>
      <c r="K6" s="233">
        <f t="shared" si="2"/>
        <v>49</v>
      </c>
      <c r="L6" s="233">
        <f t="shared" si="2"/>
        <v>40.5</v>
      </c>
      <c r="M6" s="233">
        <f t="shared" si="2"/>
        <v>39</v>
      </c>
      <c r="N6" s="233">
        <f t="shared" si="2"/>
        <v>37.125</v>
      </c>
      <c r="O6" s="233">
        <f t="shared" si="2"/>
        <v>35.25</v>
      </c>
      <c r="P6" s="233">
        <f t="shared" si="2"/>
        <v>33.75</v>
      </c>
      <c r="Q6" s="233">
        <f t="shared" si="2"/>
        <v>32.625</v>
      </c>
      <c r="R6" s="233">
        <f t="shared" si="2"/>
        <v>31.875</v>
      </c>
      <c r="S6" s="233">
        <f t="shared" si="2"/>
        <v>25</v>
      </c>
      <c r="T6" s="233">
        <f t="shared" si="2"/>
        <v>23.75</v>
      </c>
      <c r="U6" s="233">
        <f t="shared" si="2"/>
        <v>23.125</v>
      </c>
      <c r="V6" s="233">
        <f t="shared" si="2"/>
        <v>22.8125</v>
      </c>
      <c r="W6" s="233">
        <f t="shared" si="2"/>
        <v>17.25</v>
      </c>
      <c r="X6" s="233">
        <f t="shared" si="2"/>
        <v>16.5</v>
      </c>
      <c r="Y6" s="233">
        <f t="shared" si="2"/>
        <v>14</v>
      </c>
      <c r="Z6" s="233">
        <f t="shared" si="2"/>
        <v>13.5625</v>
      </c>
      <c r="AA6" s="233">
        <f t="shared" si="2"/>
        <v>13.125</v>
      </c>
      <c r="AB6" s="233">
        <f t="shared" si="2"/>
        <v>10.5</v>
      </c>
      <c r="AC6" s="233">
        <f t="shared" si="2"/>
        <v>10.28125</v>
      </c>
      <c r="AD6" s="233">
        <f t="shared" si="2"/>
        <v>9.84375</v>
      </c>
      <c r="AE6" s="233">
        <f t="shared" si="2"/>
        <v>9.40625</v>
      </c>
      <c r="AF6" s="233">
        <f t="shared" si="2"/>
        <v>7.6875</v>
      </c>
      <c r="AG6" s="233">
        <f t="shared" si="2"/>
        <v>7.3125</v>
      </c>
      <c r="AH6" s="233">
        <f t="shared" si="2"/>
        <v>6.9375</v>
      </c>
    </row>
    <row r="7" spans="1:34" ht="15" customHeight="1" x14ac:dyDescent="0.2">
      <c r="A7" s="231"/>
      <c r="B7" s="232" t="s">
        <v>219</v>
      </c>
      <c r="C7" s="233">
        <f t="shared" ref="C7:AH7" si="3">((C3*C4*C5)/144)*2</f>
        <v>1.40625</v>
      </c>
      <c r="D7" s="233">
        <f t="shared" si="3"/>
        <v>1.3447265625</v>
      </c>
      <c r="E7" s="233">
        <f t="shared" si="3"/>
        <v>0.99305555555555558</v>
      </c>
      <c r="F7" s="233">
        <f t="shared" si="3"/>
        <v>0.94444444444444442</v>
      </c>
      <c r="G7" s="233">
        <f t="shared" si="3"/>
        <v>0.9375</v>
      </c>
      <c r="H7" s="233">
        <f t="shared" si="3"/>
        <v>0.89583333333333337</v>
      </c>
      <c r="I7" s="233">
        <f t="shared" si="3"/>
        <v>0.65397135416666663</v>
      </c>
      <c r="J7" s="233">
        <f t="shared" si="3"/>
        <v>0.6220703125</v>
      </c>
      <c r="K7" s="233">
        <f t="shared" si="3"/>
        <v>0.59548611111111116</v>
      </c>
      <c r="L7" s="233">
        <f t="shared" si="3"/>
        <v>0.421875</v>
      </c>
      <c r="M7" s="233">
        <f t="shared" si="3"/>
        <v>0.40625</v>
      </c>
      <c r="N7" s="233">
        <f t="shared" si="3"/>
        <v>0.38671875</v>
      </c>
      <c r="O7" s="233">
        <f t="shared" si="3"/>
        <v>0.3671875</v>
      </c>
      <c r="P7" s="233">
        <f t="shared" si="3"/>
        <v>0.3515625</v>
      </c>
      <c r="Q7" s="233">
        <f t="shared" si="3"/>
        <v>0.33984375</v>
      </c>
      <c r="R7" s="233">
        <f t="shared" si="3"/>
        <v>0.33203125</v>
      </c>
      <c r="S7" s="233">
        <f t="shared" si="3"/>
        <v>0.2170138888888889</v>
      </c>
      <c r="T7" s="233">
        <f t="shared" si="3"/>
        <v>0.20616319444444445</v>
      </c>
      <c r="U7" s="233">
        <f t="shared" si="3"/>
        <v>0.20073784722222221</v>
      </c>
      <c r="V7" s="233">
        <f t="shared" si="3"/>
        <v>0.1980251736111111</v>
      </c>
      <c r="W7" s="233">
        <f t="shared" si="3"/>
        <v>0.11979166666666667</v>
      </c>
      <c r="X7" s="233">
        <f t="shared" si="3"/>
        <v>0.11458333333333333</v>
      </c>
      <c r="Y7" s="233">
        <f t="shared" si="3"/>
        <v>8.5069444444444448E-2</v>
      </c>
      <c r="Z7" s="233">
        <f t="shared" si="3"/>
        <v>8.2411024305555552E-2</v>
      </c>
      <c r="AA7" s="233">
        <f t="shared" si="3"/>
        <v>7.9752604166666671E-2</v>
      </c>
      <c r="AB7" s="233">
        <f t="shared" si="3"/>
        <v>6.3802083333333329E-2</v>
      </c>
      <c r="AC7" s="233">
        <f t="shared" si="3"/>
        <v>6.2472873263888888E-2</v>
      </c>
      <c r="AD7" s="233">
        <f t="shared" si="3"/>
        <v>5.9814453125E-2</v>
      </c>
      <c r="AE7" s="233">
        <f t="shared" si="3"/>
        <v>5.7156032986111112E-2</v>
      </c>
      <c r="AF7" s="233">
        <f t="shared" si="3"/>
        <v>4.00390625E-2</v>
      </c>
      <c r="AG7" s="233">
        <f t="shared" si="3"/>
        <v>3.80859375E-2</v>
      </c>
      <c r="AH7" s="233">
        <f t="shared" si="3"/>
        <v>3.61328125E-2</v>
      </c>
    </row>
    <row r="8" spans="1:34" ht="15" customHeight="1" x14ac:dyDescent="0.2">
      <c r="A8" s="242" t="s">
        <v>159</v>
      </c>
      <c r="B8" s="242" t="s">
        <v>220</v>
      </c>
      <c r="C8" s="219">
        <v>2</v>
      </c>
      <c r="D8" s="219">
        <v>2</v>
      </c>
      <c r="E8" s="220">
        <v>2</v>
      </c>
      <c r="F8" s="220">
        <v>2</v>
      </c>
      <c r="G8" s="221">
        <v>2</v>
      </c>
      <c r="H8" s="221">
        <v>2</v>
      </c>
      <c r="I8" s="222">
        <v>2</v>
      </c>
      <c r="J8" s="222">
        <v>2</v>
      </c>
      <c r="K8" s="222">
        <v>2</v>
      </c>
      <c r="L8" s="223">
        <v>2</v>
      </c>
      <c r="M8" s="223">
        <v>2</v>
      </c>
      <c r="N8" s="223">
        <v>2</v>
      </c>
      <c r="O8" s="224">
        <v>2</v>
      </c>
      <c r="P8" s="224">
        <v>2</v>
      </c>
      <c r="Q8" s="224">
        <v>2</v>
      </c>
      <c r="R8" s="224">
        <v>2</v>
      </c>
      <c r="S8" s="225">
        <v>2</v>
      </c>
      <c r="T8" s="225">
        <v>2</v>
      </c>
      <c r="U8" s="225">
        <v>2</v>
      </c>
      <c r="V8" s="225">
        <v>2</v>
      </c>
      <c r="W8" s="226">
        <v>2</v>
      </c>
      <c r="X8" s="226">
        <v>2</v>
      </c>
      <c r="Y8" s="227">
        <v>2</v>
      </c>
      <c r="Z8" s="227">
        <v>2</v>
      </c>
      <c r="AA8" s="227">
        <v>2</v>
      </c>
      <c r="AB8" s="243">
        <v>1</v>
      </c>
      <c r="AC8" s="243">
        <v>1</v>
      </c>
      <c r="AD8" s="243">
        <v>1</v>
      </c>
      <c r="AE8" s="243">
        <v>1</v>
      </c>
      <c r="AF8" s="228">
        <v>1</v>
      </c>
      <c r="AG8" s="228">
        <v>1</v>
      </c>
      <c r="AH8" s="228">
        <v>1</v>
      </c>
    </row>
    <row r="9" spans="1:34" ht="15" customHeight="1" x14ac:dyDescent="0.2">
      <c r="A9" s="242" t="s">
        <v>76</v>
      </c>
      <c r="B9" s="242" t="s">
        <v>221</v>
      </c>
      <c r="C9" s="219">
        <v>5</v>
      </c>
      <c r="D9" s="219">
        <v>5</v>
      </c>
      <c r="E9" s="220">
        <v>4.5</v>
      </c>
      <c r="F9" s="220">
        <v>4.5</v>
      </c>
      <c r="G9" s="221">
        <v>4.5</v>
      </c>
      <c r="H9" s="221">
        <v>4.5</v>
      </c>
      <c r="I9" s="222">
        <v>4</v>
      </c>
      <c r="J9" s="222">
        <v>4</v>
      </c>
      <c r="K9" s="222">
        <v>4</v>
      </c>
      <c r="L9" s="223">
        <v>3.5</v>
      </c>
      <c r="M9" s="223">
        <v>3.5</v>
      </c>
      <c r="N9" s="223">
        <v>3.5</v>
      </c>
      <c r="O9" s="224">
        <v>3</v>
      </c>
      <c r="P9" s="224">
        <v>3</v>
      </c>
      <c r="Q9" s="224">
        <v>3</v>
      </c>
      <c r="R9" s="224">
        <v>3</v>
      </c>
      <c r="S9" s="225">
        <v>2.5</v>
      </c>
      <c r="T9" s="225">
        <v>2.5</v>
      </c>
      <c r="U9" s="225">
        <v>2.5</v>
      </c>
      <c r="V9" s="225">
        <v>2.5</v>
      </c>
      <c r="W9" s="226">
        <v>2.25</v>
      </c>
      <c r="X9" s="226">
        <v>2.25</v>
      </c>
      <c r="Y9" s="227">
        <v>2</v>
      </c>
      <c r="Z9" s="227">
        <v>2</v>
      </c>
      <c r="AA9" s="227">
        <v>2</v>
      </c>
      <c r="AB9" s="243">
        <v>1.5</v>
      </c>
      <c r="AC9" s="243">
        <v>1.5</v>
      </c>
      <c r="AD9" s="243">
        <v>1.5</v>
      </c>
      <c r="AE9" s="243">
        <v>1.5</v>
      </c>
      <c r="AF9" s="228">
        <v>1.5</v>
      </c>
      <c r="AG9" s="228">
        <v>1.5</v>
      </c>
      <c r="AH9" s="228">
        <v>1.5</v>
      </c>
    </row>
    <row r="10" spans="1:34" ht="15" customHeight="1" x14ac:dyDescent="0.2">
      <c r="A10" s="242" t="s">
        <v>79</v>
      </c>
      <c r="B10" s="242" t="s">
        <v>222</v>
      </c>
      <c r="C10" s="219">
        <v>0.75</v>
      </c>
      <c r="D10" s="219">
        <v>0.75</v>
      </c>
      <c r="E10" s="220">
        <v>0.75</v>
      </c>
      <c r="F10" s="220">
        <v>0.75</v>
      </c>
      <c r="G10" s="221">
        <v>0.75</v>
      </c>
      <c r="H10" s="221">
        <v>0.75</v>
      </c>
      <c r="I10" s="222">
        <v>0.75</v>
      </c>
      <c r="J10" s="222">
        <v>0.75</v>
      </c>
      <c r="K10" s="222">
        <v>0.75</v>
      </c>
      <c r="L10" s="223">
        <v>0.75</v>
      </c>
      <c r="M10" s="223">
        <v>0.75</v>
      </c>
      <c r="N10" s="223">
        <v>0.75</v>
      </c>
      <c r="O10" s="224">
        <v>0.75</v>
      </c>
      <c r="P10" s="224">
        <v>0.75</v>
      </c>
      <c r="Q10" s="224">
        <v>0.75</v>
      </c>
      <c r="R10" s="224">
        <v>0.75</v>
      </c>
      <c r="S10" s="225">
        <v>0.75</v>
      </c>
      <c r="T10" s="225">
        <v>0.75</v>
      </c>
      <c r="U10" s="225">
        <v>0.75</v>
      </c>
      <c r="V10" s="225">
        <v>0.75</v>
      </c>
      <c r="W10" s="226">
        <v>0.75</v>
      </c>
      <c r="X10" s="226">
        <v>0.75</v>
      </c>
      <c r="Y10" s="227">
        <v>0.75</v>
      </c>
      <c r="Z10" s="227">
        <v>0.75</v>
      </c>
      <c r="AA10" s="227">
        <v>0.75</v>
      </c>
      <c r="AB10" s="74">
        <v>0.75</v>
      </c>
      <c r="AC10" s="74">
        <v>0.75</v>
      </c>
      <c r="AD10" s="74">
        <v>0.75</v>
      </c>
      <c r="AE10" s="74">
        <v>0.75</v>
      </c>
      <c r="AF10" s="228">
        <v>0.75</v>
      </c>
      <c r="AG10" s="228">
        <v>0.75</v>
      </c>
      <c r="AH10" s="228">
        <v>0.75</v>
      </c>
    </row>
    <row r="11" spans="1:34" ht="15" customHeight="1" x14ac:dyDescent="0.2">
      <c r="A11" s="244" t="s">
        <v>64</v>
      </c>
      <c r="B11" s="242" t="s">
        <v>160</v>
      </c>
      <c r="C11" s="219">
        <v>29.704000000000001</v>
      </c>
      <c r="D11" s="219">
        <v>27.759</v>
      </c>
      <c r="E11" s="220">
        <v>25.881</v>
      </c>
      <c r="F11" s="220">
        <v>24.146999999999998</v>
      </c>
      <c r="G11" s="221">
        <v>23.91</v>
      </c>
      <c r="H11" s="221">
        <v>22.364000000000001</v>
      </c>
      <c r="I11" s="222">
        <v>21.372</v>
      </c>
      <c r="J11" s="222">
        <v>19.995999999999999</v>
      </c>
      <c r="K11" s="222">
        <v>18.696000000000002</v>
      </c>
      <c r="L11" s="223">
        <v>18.187999999999999</v>
      </c>
      <c r="M11" s="223">
        <v>17.03</v>
      </c>
      <c r="N11" s="223">
        <v>15.936999999999999</v>
      </c>
      <c r="O11" s="224">
        <v>15.179</v>
      </c>
      <c r="P11" s="224">
        <v>14.206</v>
      </c>
      <c r="Q11" s="224">
        <v>13.287000000000001</v>
      </c>
      <c r="R11" s="224">
        <v>12.824</v>
      </c>
      <c r="S11" s="225">
        <v>12.006</v>
      </c>
      <c r="T11" s="225">
        <v>11.233000000000001</v>
      </c>
      <c r="U11" s="225">
        <v>10.504</v>
      </c>
      <c r="V11" s="225">
        <v>10.262</v>
      </c>
      <c r="W11" s="226">
        <v>9.6120000000000001</v>
      </c>
      <c r="X11" s="226">
        <v>8.9990000000000006</v>
      </c>
      <c r="Y11" s="227">
        <v>8.5980000000000008</v>
      </c>
      <c r="Z11" s="227">
        <v>8.0519999999999996</v>
      </c>
      <c r="AA11" s="227">
        <v>7.5359999999999996</v>
      </c>
      <c r="AB11" s="74">
        <v>7.2320000000000002</v>
      </c>
      <c r="AC11" s="74">
        <v>7</v>
      </c>
      <c r="AD11" s="74">
        <v>6.5</v>
      </c>
      <c r="AE11" s="74">
        <v>6</v>
      </c>
      <c r="AF11" s="228">
        <v>5.5</v>
      </c>
      <c r="AG11" s="228">
        <v>5</v>
      </c>
      <c r="AH11" s="228">
        <v>4.5</v>
      </c>
    </row>
    <row r="12" spans="1:34" ht="15" customHeight="1" x14ac:dyDescent="0.2">
      <c r="A12" s="244" t="s">
        <v>127</v>
      </c>
      <c r="B12" s="244" t="s">
        <v>223</v>
      </c>
      <c r="C12" s="233">
        <v>2.5</v>
      </c>
      <c r="D12" s="233">
        <v>2.5</v>
      </c>
      <c r="E12" s="234">
        <v>2.5</v>
      </c>
      <c r="F12" s="234">
        <v>2.5</v>
      </c>
      <c r="G12" s="235">
        <v>2.5</v>
      </c>
      <c r="H12" s="235">
        <v>2.5</v>
      </c>
      <c r="I12" s="236">
        <v>2.5</v>
      </c>
      <c r="J12" s="236">
        <v>2.5</v>
      </c>
      <c r="K12" s="236">
        <v>2.5</v>
      </c>
      <c r="L12" s="237">
        <v>2.5</v>
      </c>
      <c r="M12" s="237">
        <v>2.5</v>
      </c>
      <c r="N12" s="237">
        <v>2.5</v>
      </c>
      <c r="O12" s="238">
        <v>2.5</v>
      </c>
      <c r="P12" s="238">
        <v>2.5</v>
      </c>
      <c r="Q12" s="238">
        <v>2.5</v>
      </c>
      <c r="R12" s="238">
        <v>2.5</v>
      </c>
      <c r="S12" s="239">
        <v>2.5</v>
      </c>
      <c r="T12" s="239">
        <v>2.5</v>
      </c>
      <c r="U12" s="239">
        <v>2.5</v>
      </c>
      <c r="V12" s="239">
        <v>2.5</v>
      </c>
      <c r="W12" s="240">
        <v>2.5</v>
      </c>
      <c r="X12" s="240">
        <v>2.5</v>
      </c>
      <c r="Y12" s="229">
        <v>2.5</v>
      </c>
      <c r="Z12" s="229">
        <v>2.5</v>
      </c>
      <c r="AA12" s="229">
        <v>2.5</v>
      </c>
      <c r="AB12" s="241">
        <v>1.5</v>
      </c>
      <c r="AC12" s="241">
        <v>1.5</v>
      </c>
      <c r="AD12" s="241">
        <v>1.5</v>
      </c>
      <c r="AE12" s="241">
        <v>1.5</v>
      </c>
      <c r="AF12" s="230">
        <v>1.5</v>
      </c>
      <c r="AG12" s="230">
        <v>1.5</v>
      </c>
      <c r="AH12" s="230">
        <v>1.5</v>
      </c>
    </row>
    <row r="13" spans="1:34" ht="15" customHeight="1" x14ac:dyDescent="0.2">
      <c r="A13" s="245" t="s">
        <v>129</v>
      </c>
      <c r="B13" s="245" t="s">
        <v>224</v>
      </c>
      <c r="C13" s="233">
        <f t="shared" ref="C13:Q13" si="4">C15+2*C16</f>
        <v>2</v>
      </c>
      <c r="D13" s="233">
        <f t="shared" si="4"/>
        <v>2</v>
      </c>
      <c r="E13" s="234">
        <f t="shared" si="4"/>
        <v>1.75</v>
      </c>
      <c r="F13" s="234">
        <f t="shared" si="4"/>
        <v>1.75</v>
      </c>
      <c r="G13" s="235">
        <f t="shared" si="4"/>
        <v>1.625</v>
      </c>
      <c r="H13" s="235">
        <f t="shared" si="4"/>
        <v>1.625</v>
      </c>
      <c r="I13" s="236">
        <f t="shared" si="4"/>
        <v>1.5</v>
      </c>
      <c r="J13" s="236">
        <f t="shared" si="4"/>
        <v>1.5</v>
      </c>
      <c r="K13" s="236">
        <f t="shared" si="4"/>
        <v>1.5</v>
      </c>
      <c r="L13" s="237">
        <f t="shared" si="4"/>
        <v>1.25</v>
      </c>
      <c r="M13" s="237">
        <f t="shared" si="4"/>
        <v>1.25</v>
      </c>
      <c r="N13" s="237">
        <f t="shared" si="4"/>
        <v>1.25</v>
      </c>
      <c r="O13" s="238">
        <f t="shared" si="4"/>
        <v>1.125</v>
      </c>
      <c r="P13" s="238">
        <f t="shared" si="4"/>
        <v>1.125</v>
      </c>
      <c r="Q13" s="238">
        <f t="shared" si="4"/>
        <v>1.125</v>
      </c>
      <c r="R13" s="238">
        <v>1.125</v>
      </c>
      <c r="S13" s="239">
        <f t="shared" ref="S13:U13" si="5">S15+2*S16</f>
        <v>1</v>
      </c>
      <c r="T13" s="239">
        <f t="shared" si="5"/>
        <v>1</v>
      </c>
      <c r="U13" s="239">
        <f t="shared" si="5"/>
        <v>1</v>
      </c>
      <c r="V13" s="239">
        <v>1</v>
      </c>
      <c r="W13" s="240">
        <v>0.875</v>
      </c>
      <c r="X13" s="240">
        <v>0.875</v>
      </c>
      <c r="Y13" s="229">
        <v>0.75</v>
      </c>
      <c r="Z13" s="229">
        <f t="shared" ref="Z13:AH13" si="6">Z15+2*Z16</f>
        <v>0.6875</v>
      </c>
      <c r="AA13" s="229">
        <f t="shared" si="6"/>
        <v>0.6875</v>
      </c>
      <c r="AB13" s="241">
        <f t="shared" si="6"/>
        <v>0.625</v>
      </c>
      <c r="AC13" s="241">
        <f t="shared" si="6"/>
        <v>0.625</v>
      </c>
      <c r="AD13" s="241">
        <f t="shared" si="6"/>
        <v>0.625</v>
      </c>
      <c r="AE13" s="241">
        <f t="shared" si="6"/>
        <v>0.625</v>
      </c>
      <c r="AF13" s="230">
        <f t="shared" si="6"/>
        <v>0.5</v>
      </c>
      <c r="AG13" s="230">
        <f t="shared" si="6"/>
        <v>0.5</v>
      </c>
      <c r="AH13" s="230">
        <f t="shared" si="6"/>
        <v>0.5</v>
      </c>
    </row>
    <row r="14" spans="1:34" ht="15" customHeight="1" x14ac:dyDescent="0.2">
      <c r="A14" s="245" t="s">
        <v>131</v>
      </c>
      <c r="B14" s="245" t="s">
        <v>225</v>
      </c>
      <c r="C14" s="233">
        <f t="shared" ref="C14:AH14" si="7">C4-C13</f>
        <v>0.25</v>
      </c>
      <c r="D14" s="233">
        <f t="shared" si="7"/>
        <v>0.25</v>
      </c>
      <c r="E14" s="234">
        <f t="shared" si="7"/>
        <v>0.25</v>
      </c>
      <c r="F14" s="234">
        <f t="shared" si="7"/>
        <v>0.25</v>
      </c>
      <c r="G14" s="235">
        <f t="shared" si="7"/>
        <v>0.375</v>
      </c>
      <c r="H14" s="235">
        <f t="shared" si="7"/>
        <v>0.375</v>
      </c>
      <c r="I14" s="236">
        <f t="shared" si="7"/>
        <v>0.25</v>
      </c>
      <c r="J14" s="236">
        <f t="shared" si="7"/>
        <v>0.25</v>
      </c>
      <c r="K14" s="236">
        <f t="shared" si="7"/>
        <v>0.25</v>
      </c>
      <c r="L14" s="237">
        <f t="shared" si="7"/>
        <v>0.25</v>
      </c>
      <c r="M14" s="237">
        <f t="shared" si="7"/>
        <v>0.25</v>
      </c>
      <c r="N14" s="237">
        <f t="shared" si="7"/>
        <v>0.25</v>
      </c>
      <c r="O14" s="238">
        <f t="shared" si="7"/>
        <v>0.375</v>
      </c>
      <c r="P14" s="238">
        <f t="shared" si="7"/>
        <v>0.375</v>
      </c>
      <c r="Q14" s="238">
        <f t="shared" si="7"/>
        <v>0.375</v>
      </c>
      <c r="R14" s="238">
        <f t="shared" si="7"/>
        <v>0.375</v>
      </c>
      <c r="S14" s="239">
        <f t="shared" si="7"/>
        <v>0.25</v>
      </c>
      <c r="T14" s="239">
        <f t="shared" si="7"/>
        <v>0.25</v>
      </c>
      <c r="U14" s="239">
        <f t="shared" si="7"/>
        <v>0.25</v>
      </c>
      <c r="V14" s="239">
        <f t="shared" si="7"/>
        <v>0.25</v>
      </c>
      <c r="W14" s="240">
        <f t="shared" si="7"/>
        <v>0.125</v>
      </c>
      <c r="X14" s="240">
        <f t="shared" si="7"/>
        <v>0.125</v>
      </c>
      <c r="Y14" s="229">
        <f t="shared" si="7"/>
        <v>0.125</v>
      </c>
      <c r="Z14" s="229">
        <f t="shared" si="7"/>
        <v>0.1875</v>
      </c>
      <c r="AA14" s="229">
        <f t="shared" si="7"/>
        <v>0.1875</v>
      </c>
      <c r="AB14" s="241">
        <f t="shared" si="7"/>
        <v>0.25</v>
      </c>
      <c r="AC14" s="241">
        <f t="shared" si="7"/>
        <v>0.25</v>
      </c>
      <c r="AD14" s="241">
        <f t="shared" si="7"/>
        <v>0.25</v>
      </c>
      <c r="AE14" s="241">
        <f t="shared" si="7"/>
        <v>0.25</v>
      </c>
      <c r="AF14" s="230">
        <f t="shared" si="7"/>
        <v>0.25</v>
      </c>
      <c r="AG14" s="230">
        <f t="shared" si="7"/>
        <v>0.25</v>
      </c>
      <c r="AH14" s="230">
        <f t="shared" si="7"/>
        <v>0.25</v>
      </c>
    </row>
    <row r="15" spans="1:34" ht="15" customHeight="1" x14ac:dyDescent="0.2">
      <c r="A15" s="245" t="s">
        <v>133</v>
      </c>
      <c r="B15" s="245" t="s">
        <v>80</v>
      </c>
      <c r="C15" s="233">
        <v>1.375</v>
      </c>
      <c r="D15" s="233">
        <v>1.375</v>
      </c>
      <c r="E15" s="234">
        <v>1.25</v>
      </c>
      <c r="F15" s="234">
        <v>1.25</v>
      </c>
      <c r="G15" s="235">
        <v>1.125</v>
      </c>
      <c r="H15" s="235">
        <v>1.125</v>
      </c>
      <c r="I15" s="236">
        <v>1</v>
      </c>
      <c r="J15" s="236">
        <v>1</v>
      </c>
      <c r="K15" s="236">
        <v>1</v>
      </c>
      <c r="L15" s="237">
        <v>0.875</v>
      </c>
      <c r="M15" s="237">
        <v>0.875</v>
      </c>
      <c r="N15" s="237">
        <v>0.875</v>
      </c>
      <c r="O15" s="238">
        <v>0.75</v>
      </c>
      <c r="P15" s="238">
        <v>0.75</v>
      </c>
      <c r="Q15" s="238">
        <v>0.75</v>
      </c>
      <c r="R15" s="238">
        <v>0.75</v>
      </c>
      <c r="S15" s="239">
        <v>0.625</v>
      </c>
      <c r="T15" s="239">
        <v>0.625</v>
      </c>
      <c r="U15" s="239">
        <v>0.625</v>
      </c>
      <c r="V15" s="239">
        <v>0.625</v>
      </c>
      <c r="W15" s="240">
        <v>0.5</v>
      </c>
      <c r="X15" s="240">
        <v>0.5</v>
      </c>
      <c r="Y15" s="229">
        <v>0.4375</v>
      </c>
      <c r="Z15" s="229">
        <v>0.4375</v>
      </c>
      <c r="AA15" s="229">
        <v>0.4375</v>
      </c>
      <c r="AB15" s="241">
        <v>0.375</v>
      </c>
      <c r="AC15" s="241">
        <v>0.375</v>
      </c>
      <c r="AD15" s="241">
        <v>0.375</v>
      </c>
      <c r="AE15" s="241">
        <v>0.375</v>
      </c>
      <c r="AF15" s="230">
        <v>0.25</v>
      </c>
      <c r="AG15" s="230">
        <v>0.25</v>
      </c>
      <c r="AH15" s="230">
        <v>0.25</v>
      </c>
    </row>
    <row r="16" spans="1:34" ht="15" customHeight="1" x14ac:dyDescent="0.2">
      <c r="A16" s="245" t="s">
        <v>135</v>
      </c>
      <c r="B16" s="245" t="s">
        <v>226</v>
      </c>
      <c r="C16" s="233">
        <v>0.3125</v>
      </c>
      <c r="D16" s="233">
        <v>0.3125</v>
      </c>
      <c r="E16" s="234">
        <v>0.25</v>
      </c>
      <c r="F16" s="234">
        <v>0.25</v>
      </c>
      <c r="G16" s="235">
        <v>0.25</v>
      </c>
      <c r="H16" s="235">
        <v>0.25</v>
      </c>
      <c r="I16" s="236">
        <v>0.25</v>
      </c>
      <c r="J16" s="236">
        <v>0.25</v>
      </c>
      <c r="K16" s="236">
        <v>0.25</v>
      </c>
      <c r="L16" s="246">
        <v>0.1875</v>
      </c>
      <c r="M16" s="246">
        <v>0.1875</v>
      </c>
      <c r="N16" s="246">
        <v>0.1875</v>
      </c>
      <c r="O16" s="247">
        <v>0.1875</v>
      </c>
      <c r="P16" s="247">
        <v>0.1875</v>
      </c>
      <c r="Q16" s="247">
        <v>0.1875</v>
      </c>
      <c r="R16" s="247">
        <v>0.1875</v>
      </c>
      <c r="S16" s="248">
        <v>0.1875</v>
      </c>
      <c r="T16" s="248">
        <v>0.1875</v>
      </c>
      <c r="U16" s="248">
        <v>0.1875</v>
      </c>
      <c r="V16" s="239">
        <v>0.1875</v>
      </c>
      <c r="W16" s="240">
        <v>0.125</v>
      </c>
      <c r="X16" s="240">
        <v>0.125</v>
      </c>
      <c r="Y16" s="229">
        <v>0.125</v>
      </c>
      <c r="Z16" s="229">
        <v>0.125</v>
      </c>
      <c r="AA16" s="229">
        <v>0.125</v>
      </c>
      <c r="AB16" s="241">
        <v>0.125</v>
      </c>
      <c r="AC16" s="241">
        <v>0.125</v>
      </c>
      <c r="AD16" s="241">
        <v>0.125</v>
      </c>
      <c r="AE16" s="241">
        <v>0.125</v>
      </c>
      <c r="AF16" s="230">
        <v>0.125</v>
      </c>
      <c r="AG16" s="230">
        <v>0.125</v>
      </c>
      <c r="AH16" s="230">
        <v>0.125</v>
      </c>
    </row>
    <row r="17" spans="1:34" ht="15" customHeight="1" x14ac:dyDescent="0.2">
      <c r="A17" s="249" t="s">
        <v>137</v>
      </c>
      <c r="B17" s="249" t="s">
        <v>123</v>
      </c>
      <c r="C17" s="233">
        <f t="shared" ref="C17:AH17" si="8">C8+C9+C10+1-C20</f>
        <v>4.75</v>
      </c>
      <c r="D17" s="233">
        <f t="shared" si="8"/>
        <v>4.75</v>
      </c>
      <c r="E17" s="234">
        <f t="shared" si="8"/>
        <v>4.25</v>
      </c>
      <c r="F17" s="234">
        <f t="shared" si="8"/>
        <v>4.25</v>
      </c>
      <c r="G17" s="235">
        <f t="shared" si="8"/>
        <v>4.25</v>
      </c>
      <c r="H17" s="235">
        <f t="shared" si="8"/>
        <v>4.25</v>
      </c>
      <c r="I17" s="236">
        <f t="shared" si="8"/>
        <v>3.75</v>
      </c>
      <c r="J17" s="236">
        <f t="shared" si="8"/>
        <v>3.75</v>
      </c>
      <c r="K17" s="236">
        <f t="shared" si="8"/>
        <v>3.75</v>
      </c>
      <c r="L17" s="237">
        <f t="shared" si="8"/>
        <v>3.25</v>
      </c>
      <c r="M17" s="237">
        <f t="shared" si="8"/>
        <v>3.25</v>
      </c>
      <c r="N17" s="237">
        <f t="shared" si="8"/>
        <v>3.25</v>
      </c>
      <c r="O17" s="238">
        <f t="shared" si="8"/>
        <v>2.75</v>
      </c>
      <c r="P17" s="238">
        <f t="shared" si="8"/>
        <v>2.75</v>
      </c>
      <c r="Q17" s="238">
        <f t="shared" si="8"/>
        <v>2.75</v>
      </c>
      <c r="R17" s="238">
        <f t="shared" si="8"/>
        <v>2.75</v>
      </c>
      <c r="S17" s="239">
        <f t="shared" si="8"/>
        <v>2.75</v>
      </c>
      <c r="T17" s="239">
        <f t="shared" si="8"/>
        <v>2.75</v>
      </c>
      <c r="U17" s="239">
        <f t="shared" si="8"/>
        <v>2.75</v>
      </c>
      <c r="V17" s="239">
        <f t="shared" si="8"/>
        <v>2.75</v>
      </c>
      <c r="W17" s="240">
        <f t="shared" si="8"/>
        <v>2.5</v>
      </c>
      <c r="X17" s="240">
        <f t="shared" si="8"/>
        <v>2.5</v>
      </c>
      <c r="Y17" s="229">
        <f t="shared" si="8"/>
        <v>2.25</v>
      </c>
      <c r="Z17" s="229">
        <f t="shared" si="8"/>
        <v>2.25</v>
      </c>
      <c r="AA17" s="229">
        <f t="shared" si="8"/>
        <v>2.25</v>
      </c>
      <c r="AB17" s="106">
        <f t="shared" si="8"/>
        <v>1.25</v>
      </c>
      <c r="AC17" s="106">
        <f t="shared" si="8"/>
        <v>1.25</v>
      </c>
      <c r="AD17" s="106">
        <f t="shared" si="8"/>
        <v>1.25</v>
      </c>
      <c r="AE17" s="106">
        <f t="shared" si="8"/>
        <v>1.25</v>
      </c>
      <c r="AF17" s="230">
        <f t="shared" si="8"/>
        <v>1.25</v>
      </c>
      <c r="AG17" s="230">
        <f t="shared" si="8"/>
        <v>1.25</v>
      </c>
      <c r="AH17" s="230">
        <f t="shared" si="8"/>
        <v>1.25</v>
      </c>
    </row>
    <row r="18" spans="1:34" ht="15" customHeight="1" x14ac:dyDescent="0.2">
      <c r="A18" s="249" t="s">
        <v>96</v>
      </c>
      <c r="B18" s="249" t="s">
        <v>124</v>
      </c>
      <c r="C18" s="233">
        <f t="shared" ref="C18:AH18" si="9">C5-(C15/2)-C16/2</f>
        <v>0.28125</v>
      </c>
      <c r="D18" s="233">
        <f t="shared" si="9"/>
        <v>0.28125</v>
      </c>
      <c r="E18" s="234">
        <f t="shared" si="9"/>
        <v>0.25</v>
      </c>
      <c r="F18" s="234">
        <f t="shared" si="9"/>
        <v>0.25</v>
      </c>
      <c r="G18" s="235">
        <f t="shared" si="9"/>
        <v>0.3125</v>
      </c>
      <c r="H18" s="235">
        <f t="shared" si="9"/>
        <v>0.3125</v>
      </c>
      <c r="I18" s="236">
        <f t="shared" si="9"/>
        <v>0.25</v>
      </c>
      <c r="J18" s="236">
        <f t="shared" si="9"/>
        <v>0.25</v>
      </c>
      <c r="K18" s="236">
        <f t="shared" si="9"/>
        <v>0.25</v>
      </c>
      <c r="L18" s="237">
        <f t="shared" si="9"/>
        <v>0.21875</v>
      </c>
      <c r="M18" s="237">
        <f t="shared" si="9"/>
        <v>0.21875</v>
      </c>
      <c r="N18" s="237">
        <f t="shared" si="9"/>
        <v>0.21875</v>
      </c>
      <c r="O18" s="238">
        <f t="shared" si="9"/>
        <v>0.28125</v>
      </c>
      <c r="P18" s="238">
        <f t="shared" si="9"/>
        <v>0.28125</v>
      </c>
      <c r="Q18" s="238">
        <f t="shared" si="9"/>
        <v>0.28125</v>
      </c>
      <c r="R18" s="238">
        <f t="shared" si="9"/>
        <v>0.28125</v>
      </c>
      <c r="S18" s="239">
        <f t="shared" si="9"/>
        <v>0.21875</v>
      </c>
      <c r="T18" s="239">
        <f t="shared" si="9"/>
        <v>0.21875</v>
      </c>
      <c r="U18" s="239">
        <f t="shared" si="9"/>
        <v>0.21875</v>
      </c>
      <c r="V18" s="239">
        <f t="shared" si="9"/>
        <v>0.21875</v>
      </c>
      <c r="W18" s="240">
        <f t="shared" si="9"/>
        <v>0.1875</v>
      </c>
      <c r="X18" s="240">
        <f t="shared" si="9"/>
        <v>0.1875</v>
      </c>
      <c r="Y18" s="229">
        <f t="shared" si="9"/>
        <v>0.15625</v>
      </c>
      <c r="Z18" s="229">
        <f t="shared" si="9"/>
        <v>0.15625</v>
      </c>
      <c r="AA18" s="229">
        <f t="shared" si="9"/>
        <v>0.15625</v>
      </c>
      <c r="AB18" s="106">
        <f t="shared" si="9"/>
        <v>0.1875</v>
      </c>
      <c r="AC18" s="106">
        <f t="shared" si="9"/>
        <v>0.1875</v>
      </c>
      <c r="AD18" s="106">
        <f t="shared" si="9"/>
        <v>0.1875</v>
      </c>
      <c r="AE18" s="106">
        <f t="shared" si="9"/>
        <v>0.1875</v>
      </c>
      <c r="AF18" s="230">
        <f t="shared" si="9"/>
        <v>0.1875</v>
      </c>
      <c r="AG18" s="230">
        <f t="shared" si="9"/>
        <v>0.1875</v>
      </c>
      <c r="AH18" s="230">
        <f t="shared" si="9"/>
        <v>0.1875</v>
      </c>
    </row>
    <row r="19" spans="1:34" ht="15" customHeight="1" x14ac:dyDescent="0.2">
      <c r="A19" s="249" t="s">
        <v>99</v>
      </c>
      <c r="B19" s="249" t="s">
        <v>125</v>
      </c>
      <c r="C19" s="233">
        <f t="shared" ref="C19:AH19" si="10">CEILING((C21+0.25),0.125)</f>
        <v>1</v>
      </c>
      <c r="D19" s="233">
        <f t="shared" si="10"/>
        <v>1</v>
      </c>
      <c r="E19" s="234">
        <f t="shared" si="10"/>
        <v>0.875</v>
      </c>
      <c r="F19" s="234">
        <f t="shared" si="10"/>
        <v>0.875</v>
      </c>
      <c r="G19" s="235">
        <f t="shared" si="10"/>
        <v>0.875</v>
      </c>
      <c r="H19" s="235">
        <f t="shared" si="10"/>
        <v>0.875</v>
      </c>
      <c r="I19" s="236">
        <f t="shared" si="10"/>
        <v>0.75</v>
      </c>
      <c r="J19" s="236">
        <f t="shared" si="10"/>
        <v>0.75</v>
      </c>
      <c r="K19" s="236">
        <f t="shared" si="10"/>
        <v>0.75</v>
      </c>
      <c r="L19" s="237">
        <f t="shared" si="10"/>
        <v>0.75</v>
      </c>
      <c r="M19" s="237">
        <f t="shared" si="10"/>
        <v>0.75</v>
      </c>
      <c r="N19" s="237">
        <f t="shared" si="10"/>
        <v>0.75</v>
      </c>
      <c r="O19" s="238">
        <f t="shared" si="10"/>
        <v>0.625</v>
      </c>
      <c r="P19" s="238">
        <f t="shared" si="10"/>
        <v>0.625</v>
      </c>
      <c r="Q19" s="238">
        <f t="shared" si="10"/>
        <v>0.625</v>
      </c>
      <c r="R19" s="238">
        <f t="shared" si="10"/>
        <v>0.625</v>
      </c>
      <c r="S19" s="239">
        <f t="shared" si="10"/>
        <v>0.625</v>
      </c>
      <c r="T19" s="239">
        <f t="shared" si="10"/>
        <v>0.625</v>
      </c>
      <c r="U19" s="239">
        <f t="shared" si="10"/>
        <v>0.625</v>
      </c>
      <c r="V19" s="239">
        <f t="shared" si="10"/>
        <v>0.625</v>
      </c>
      <c r="W19" s="240">
        <f t="shared" si="10"/>
        <v>0.5</v>
      </c>
      <c r="X19" s="240">
        <f t="shared" si="10"/>
        <v>0.5</v>
      </c>
      <c r="Y19" s="229">
        <f t="shared" si="10"/>
        <v>0.5</v>
      </c>
      <c r="Z19" s="229">
        <f t="shared" si="10"/>
        <v>0.5</v>
      </c>
      <c r="AA19" s="229">
        <f t="shared" si="10"/>
        <v>0.5</v>
      </c>
      <c r="AB19" s="106">
        <f t="shared" si="10"/>
        <v>0.5</v>
      </c>
      <c r="AC19" s="106">
        <f t="shared" si="10"/>
        <v>0.5</v>
      </c>
      <c r="AD19" s="106">
        <f t="shared" si="10"/>
        <v>0.5</v>
      </c>
      <c r="AE19" s="106">
        <f t="shared" si="10"/>
        <v>0.5</v>
      </c>
      <c r="AF19" s="230">
        <f t="shared" si="10"/>
        <v>0.5</v>
      </c>
      <c r="AG19" s="230">
        <f t="shared" si="10"/>
        <v>0.5</v>
      </c>
      <c r="AH19" s="230">
        <f t="shared" si="10"/>
        <v>0.5</v>
      </c>
    </row>
    <row r="20" spans="1:34" ht="15" customHeight="1" x14ac:dyDescent="0.2">
      <c r="A20" s="249" t="s">
        <v>101</v>
      </c>
      <c r="B20" s="249" t="s">
        <v>126</v>
      </c>
      <c r="C20" s="233">
        <v>4</v>
      </c>
      <c r="D20" s="233">
        <v>4</v>
      </c>
      <c r="E20" s="234">
        <v>4</v>
      </c>
      <c r="F20" s="234">
        <v>4</v>
      </c>
      <c r="G20" s="235">
        <v>4</v>
      </c>
      <c r="H20" s="235">
        <v>4</v>
      </c>
      <c r="I20" s="236">
        <v>4</v>
      </c>
      <c r="J20" s="236">
        <v>4</v>
      </c>
      <c r="K20" s="236">
        <v>4</v>
      </c>
      <c r="L20" s="237">
        <v>4</v>
      </c>
      <c r="M20" s="237">
        <v>4</v>
      </c>
      <c r="N20" s="237">
        <v>4</v>
      </c>
      <c r="O20" s="238">
        <v>4</v>
      </c>
      <c r="P20" s="238">
        <v>4</v>
      </c>
      <c r="Q20" s="238">
        <v>4</v>
      </c>
      <c r="R20" s="238">
        <v>4</v>
      </c>
      <c r="S20" s="239">
        <v>3.5</v>
      </c>
      <c r="T20" s="239">
        <v>3.5</v>
      </c>
      <c r="U20" s="239">
        <v>3.5</v>
      </c>
      <c r="V20" s="239">
        <v>3.5</v>
      </c>
      <c r="W20" s="240">
        <v>3.5</v>
      </c>
      <c r="X20" s="240">
        <v>3.5</v>
      </c>
      <c r="Y20" s="229">
        <v>3.5</v>
      </c>
      <c r="Z20" s="229">
        <v>3.5</v>
      </c>
      <c r="AA20" s="229">
        <v>3.5</v>
      </c>
      <c r="AB20" s="106">
        <v>3</v>
      </c>
      <c r="AC20" s="106">
        <v>3</v>
      </c>
      <c r="AD20" s="106">
        <v>3</v>
      </c>
      <c r="AE20" s="106">
        <v>3</v>
      </c>
      <c r="AF20" s="230">
        <v>3</v>
      </c>
      <c r="AG20" s="230">
        <v>3</v>
      </c>
      <c r="AH20" s="230">
        <v>3</v>
      </c>
    </row>
    <row r="21" spans="1:34" ht="15" customHeight="1" x14ac:dyDescent="0.2">
      <c r="A21" s="250" t="s">
        <v>103</v>
      </c>
      <c r="B21" s="250" t="s">
        <v>227</v>
      </c>
      <c r="C21" s="233">
        <f t="shared" ref="C21:AA21" si="11">C15/2</f>
        <v>0.6875</v>
      </c>
      <c r="D21" s="233">
        <f t="shared" si="11"/>
        <v>0.6875</v>
      </c>
      <c r="E21" s="234">
        <f t="shared" si="11"/>
        <v>0.625</v>
      </c>
      <c r="F21" s="234">
        <f t="shared" si="11"/>
        <v>0.625</v>
      </c>
      <c r="G21" s="235">
        <f t="shared" si="11"/>
        <v>0.5625</v>
      </c>
      <c r="H21" s="235">
        <f t="shared" si="11"/>
        <v>0.5625</v>
      </c>
      <c r="I21" s="236">
        <f t="shared" si="11"/>
        <v>0.5</v>
      </c>
      <c r="J21" s="236">
        <f t="shared" si="11"/>
        <v>0.5</v>
      </c>
      <c r="K21" s="236">
        <f t="shared" si="11"/>
        <v>0.5</v>
      </c>
      <c r="L21" s="237">
        <f t="shared" si="11"/>
        <v>0.4375</v>
      </c>
      <c r="M21" s="237">
        <f t="shared" si="11"/>
        <v>0.4375</v>
      </c>
      <c r="N21" s="237">
        <f t="shared" si="11"/>
        <v>0.4375</v>
      </c>
      <c r="O21" s="238">
        <f t="shared" si="11"/>
        <v>0.375</v>
      </c>
      <c r="P21" s="238">
        <f t="shared" si="11"/>
        <v>0.375</v>
      </c>
      <c r="Q21" s="238">
        <f t="shared" si="11"/>
        <v>0.375</v>
      </c>
      <c r="R21" s="238">
        <f t="shared" si="11"/>
        <v>0.375</v>
      </c>
      <c r="S21" s="239">
        <f t="shared" si="11"/>
        <v>0.3125</v>
      </c>
      <c r="T21" s="239">
        <f t="shared" si="11"/>
        <v>0.3125</v>
      </c>
      <c r="U21" s="239">
        <f t="shared" si="11"/>
        <v>0.3125</v>
      </c>
      <c r="V21" s="239">
        <f t="shared" si="11"/>
        <v>0.3125</v>
      </c>
      <c r="W21" s="240">
        <f t="shared" si="11"/>
        <v>0.25</v>
      </c>
      <c r="X21" s="240">
        <f t="shared" si="11"/>
        <v>0.25</v>
      </c>
      <c r="Y21" s="229">
        <f t="shared" si="11"/>
        <v>0.21875</v>
      </c>
      <c r="Z21" s="229">
        <f t="shared" si="11"/>
        <v>0.21875</v>
      </c>
      <c r="AA21" s="229">
        <f t="shared" si="11"/>
        <v>0.21875</v>
      </c>
      <c r="AB21" s="106">
        <v>0.2</v>
      </c>
      <c r="AC21" s="106">
        <v>0.2</v>
      </c>
      <c r="AD21" s="106">
        <v>0.2</v>
      </c>
      <c r="AE21" s="106">
        <v>0.2</v>
      </c>
      <c r="AF21" s="216">
        <v>0.1658</v>
      </c>
      <c r="AG21" s="216">
        <v>0.1658</v>
      </c>
      <c r="AH21" s="216">
        <v>0.1658</v>
      </c>
    </row>
    <row r="22" spans="1:34" ht="15" customHeight="1" x14ac:dyDescent="0.2">
      <c r="A22" s="251" t="s">
        <v>105</v>
      </c>
      <c r="B22" s="251" t="s">
        <v>92</v>
      </c>
      <c r="C22" s="207">
        <v>0.25</v>
      </c>
      <c r="D22" s="207">
        <v>0.25</v>
      </c>
      <c r="E22" s="208">
        <v>0.25</v>
      </c>
      <c r="F22" s="208">
        <v>0.25</v>
      </c>
      <c r="G22" s="209">
        <v>0.25</v>
      </c>
      <c r="H22" s="209">
        <v>0.25</v>
      </c>
      <c r="I22" s="210">
        <v>0.25</v>
      </c>
      <c r="J22" s="210">
        <v>0.25</v>
      </c>
      <c r="K22" s="210">
        <v>0.25</v>
      </c>
      <c r="L22" s="211">
        <v>0.25</v>
      </c>
      <c r="M22" s="211">
        <v>0.25</v>
      </c>
      <c r="N22" s="211">
        <v>0.25</v>
      </c>
      <c r="O22" s="212">
        <v>0.22500000000000001</v>
      </c>
      <c r="P22" s="212">
        <v>0.22500000000000001</v>
      </c>
      <c r="Q22" s="212">
        <v>0.22500000000000001</v>
      </c>
      <c r="R22" s="212">
        <v>0.22500000000000001</v>
      </c>
      <c r="S22" s="213">
        <v>0.22500000000000001</v>
      </c>
      <c r="T22" s="213">
        <v>0.22500000000000001</v>
      </c>
      <c r="U22" s="213">
        <v>0.22500000000000001</v>
      </c>
      <c r="V22" s="213">
        <v>0.22500000000000001</v>
      </c>
      <c r="W22" s="214">
        <v>0.1875</v>
      </c>
      <c r="X22" s="214">
        <v>0.1875</v>
      </c>
      <c r="Y22" s="215">
        <v>0.1875</v>
      </c>
      <c r="Z22" s="215">
        <v>0.1875</v>
      </c>
      <c r="AA22" s="215">
        <v>0.1875</v>
      </c>
      <c r="AB22" s="170">
        <v>0.1875</v>
      </c>
      <c r="AC22" s="170">
        <v>0.1875</v>
      </c>
      <c r="AD22" s="170">
        <v>0.1875</v>
      </c>
      <c r="AE22" s="170">
        <v>0.1875</v>
      </c>
      <c r="AF22" s="216">
        <v>0.1658</v>
      </c>
      <c r="AG22" s="216">
        <v>0.1658</v>
      </c>
      <c r="AH22" s="216">
        <v>0.1658</v>
      </c>
    </row>
    <row r="23" spans="1:34" ht="15" customHeight="1" x14ac:dyDescent="0.2">
      <c r="A23" s="250" t="s">
        <v>107</v>
      </c>
      <c r="B23" s="250" t="s">
        <v>86</v>
      </c>
      <c r="C23" s="233">
        <v>3.5000000000000003E-2</v>
      </c>
      <c r="D23" s="233">
        <v>3.5000000000000003E-2</v>
      </c>
      <c r="E23" s="234">
        <v>3.5000000000000003E-2</v>
      </c>
      <c r="F23" s="234">
        <v>3.5000000000000003E-2</v>
      </c>
      <c r="G23" s="235">
        <v>3.5000000000000003E-2</v>
      </c>
      <c r="H23" s="235">
        <v>3.5000000000000003E-2</v>
      </c>
      <c r="I23" s="236">
        <v>3.5000000000000003E-2</v>
      </c>
      <c r="J23" s="236">
        <v>3.5000000000000003E-2</v>
      </c>
      <c r="K23" s="236">
        <v>3.5000000000000003E-2</v>
      </c>
      <c r="L23" s="237">
        <v>3.5000000000000003E-2</v>
      </c>
      <c r="M23" s="237">
        <v>3.5000000000000003E-2</v>
      </c>
      <c r="N23" s="237">
        <v>3.5000000000000003E-2</v>
      </c>
      <c r="O23" s="238">
        <v>3.5000000000000003E-2</v>
      </c>
      <c r="P23" s="238">
        <v>3.5000000000000003E-2</v>
      </c>
      <c r="Q23" s="238">
        <v>3.5000000000000003E-2</v>
      </c>
      <c r="R23" s="238">
        <v>3.5000000000000003E-2</v>
      </c>
      <c r="S23" s="239">
        <v>3.5000000000000003E-2</v>
      </c>
      <c r="T23" s="239">
        <v>3.5000000000000003E-2</v>
      </c>
      <c r="U23" s="239">
        <v>3.5000000000000003E-2</v>
      </c>
      <c r="V23" s="239">
        <v>3.5000000000000003E-2</v>
      </c>
      <c r="W23" s="240">
        <v>3.5000000000000003E-2</v>
      </c>
      <c r="X23" s="240">
        <v>3.5000000000000003E-2</v>
      </c>
      <c r="Y23" s="229">
        <v>3.5000000000000003E-2</v>
      </c>
      <c r="Z23" s="229">
        <v>3.5000000000000003E-2</v>
      </c>
      <c r="AA23" s="229">
        <v>3.5000000000000003E-2</v>
      </c>
      <c r="AB23" s="106">
        <v>3.5000000000000003E-2</v>
      </c>
      <c r="AC23" s="106">
        <v>3.5000000000000003E-2</v>
      </c>
      <c r="AD23" s="106">
        <v>3.5000000000000003E-2</v>
      </c>
      <c r="AE23" s="106">
        <v>3.5000000000000003E-2</v>
      </c>
      <c r="AF23" s="230">
        <v>3.5000000000000003E-2</v>
      </c>
      <c r="AG23" s="230">
        <v>3.5000000000000003E-2</v>
      </c>
      <c r="AH23" s="230">
        <v>3.5000000000000003E-2</v>
      </c>
    </row>
    <row r="24" spans="1:34" ht="15" customHeight="1" x14ac:dyDescent="0.2">
      <c r="O24" s="181"/>
      <c r="P24" s="181"/>
      <c r="Q24" s="181"/>
      <c r="R24" s="181"/>
      <c r="S24" s="181"/>
      <c r="T24" s="181"/>
      <c r="U24" s="181"/>
      <c r="V24" s="181"/>
      <c r="W24" s="252" t="s">
        <v>228</v>
      </c>
      <c r="X24" s="253">
        <f>SUM(J6:V6)</f>
        <v>445</v>
      </c>
      <c r="Y24" s="200" t="s">
        <v>229</v>
      </c>
      <c r="AA24">
        <f>(X24*1)/144</f>
        <v>3.0902777777777777</v>
      </c>
    </row>
    <row r="25" spans="1:34" ht="15" customHeight="1" x14ac:dyDescent="0.2">
      <c r="O25" s="181"/>
      <c r="P25" s="181"/>
      <c r="Q25" s="181"/>
      <c r="R25" s="181"/>
      <c r="S25" s="181"/>
      <c r="T25" s="181"/>
      <c r="U25" s="181"/>
      <c r="V25" s="181"/>
      <c r="W25" s="252" t="s">
        <v>230</v>
      </c>
      <c r="X25" s="253">
        <f>SUM(L6:V6)</f>
        <v>344.8125</v>
      </c>
      <c r="Y25" s="200" t="s">
        <v>231</v>
      </c>
      <c r="AA25">
        <f>(X25)/144</f>
        <v>2.39453125</v>
      </c>
    </row>
    <row r="26" spans="1:34" ht="15" customHeight="1" x14ac:dyDescent="0.2">
      <c r="O26" s="181"/>
      <c r="P26" s="181"/>
      <c r="Q26" s="181"/>
      <c r="R26" s="181"/>
      <c r="S26" s="181"/>
      <c r="T26" s="181"/>
      <c r="U26" s="181"/>
      <c r="V26" s="181"/>
      <c r="W26" s="252" t="s">
        <v>232</v>
      </c>
      <c r="X26" s="253">
        <f>SUM(J7:V7)</f>
        <v>4.6449652777777777</v>
      </c>
    </row>
    <row r="27" spans="1:34" ht="15" customHeight="1" x14ac:dyDescent="0.2">
      <c r="O27" s="181"/>
      <c r="P27" s="181"/>
      <c r="Q27" s="181"/>
      <c r="R27" s="181"/>
      <c r="S27" s="181"/>
      <c r="T27" s="181"/>
      <c r="U27" s="181"/>
      <c r="V27" s="181"/>
      <c r="W27" s="252" t="s">
        <v>233</v>
      </c>
      <c r="X27" s="253">
        <f>SUM(L7:V7)</f>
        <v>3.427408854166667</v>
      </c>
    </row>
    <row r="28" spans="1:34" ht="15" customHeight="1" x14ac:dyDescent="0.2">
      <c r="A28" s="217"/>
      <c r="B28" s="217" t="s">
        <v>234</v>
      </c>
      <c r="C28" s="219">
        <f t="shared" ref="C28:AH28" si="12">13552/(2*C35)</f>
        <v>34.571831087928693</v>
      </c>
      <c r="D28" s="219">
        <f t="shared" si="12"/>
        <v>32.631463306266298</v>
      </c>
      <c r="E28" s="220">
        <f t="shared" si="12"/>
        <v>30.8</v>
      </c>
      <c r="F28" s="220">
        <f t="shared" si="12"/>
        <v>29.071328830596165</v>
      </c>
      <c r="G28" s="221">
        <f t="shared" si="12"/>
        <v>27.439680518722454</v>
      </c>
      <c r="H28" s="221">
        <f t="shared" si="12"/>
        <v>25.899609589814411</v>
      </c>
      <c r="I28" s="222">
        <f t="shared" si="12"/>
        <v>24.445976200310273</v>
      </c>
      <c r="J28" s="222">
        <f t="shared" si="12"/>
        <v>23.073928983900899</v>
      </c>
      <c r="K28" s="222">
        <f t="shared" si="12"/>
        <v>21.778888860545667</v>
      </c>
      <c r="L28" s="223">
        <f t="shared" si="12"/>
        <v>20.556533754218531</v>
      </c>
      <c r="M28" s="223">
        <f t="shared" si="12"/>
        <v>19.402784168381046</v>
      </c>
      <c r="N28" s="223">
        <f t="shared" si="12"/>
        <v>18.313789571041909</v>
      </c>
      <c r="O28" s="224">
        <f t="shared" si="12"/>
        <v>17.285915543964347</v>
      </c>
      <c r="P28" s="224">
        <f t="shared" si="12"/>
        <v>16.315731653133149</v>
      </c>
      <c r="Q28" s="224">
        <f t="shared" si="12"/>
        <v>15.4</v>
      </c>
      <c r="R28" s="224">
        <f t="shared" si="12"/>
        <v>14.535664415298079</v>
      </c>
      <c r="S28" s="225">
        <f t="shared" si="12"/>
        <v>13.719840259361225</v>
      </c>
      <c r="T28" s="225">
        <f t="shared" si="12"/>
        <v>12.949804794907202</v>
      </c>
      <c r="U28" s="225">
        <f t="shared" si="12"/>
        <v>12.222988100155137</v>
      </c>
      <c r="V28" s="225">
        <f t="shared" si="12"/>
        <v>11.536964491950448</v>
      </c>
      <c r="W28" s="226">
        <f t="shared" si="12"/>
        <v>10.889444430272832</v>
      </c>
      <c r="X28" s="226">
        <f t="shared" si="12"/>
        <v>10.278266877109264</v>
      </c>
      <c r="Y28" s="227">
        <f t="shared" si="12"/>
        <v>9.7013920841905232</v>
      </c>
      <c r="Z28" s="227">
        <f t="shared" si="12"/>
        <v>9.1568947855209508</v>
      </c>
      <c r="AA28" s="227">
        <f t="shared" si="12"/>
        <v>8.6429577719821715</v>
      </c>
      <c r="AB28" s="74">
        <f t="shared" si="12"/>
        <v>8.1578658265665709</v>
      </c>
      <c r="AC28" s="74">
        <f t="shared" si="12"/>
        <v>7.7</v>
      </c>
      <c r="AD28" s="74">
        <f t="shared" si="12"/>
        <v>7.2678322076490396</v>
      </c>
      <c r="AE28" s="74">
        <f t="shared" si="12"/>
        <v>6.8599201296806109</v>
      </c>
      <c r="AF28" s="228">
        <f t="shared" si="12"/>
        <v>6.4749023974536009</v>
      </c>
      <c r="AG28" s="228">
        <f t="shared" si="12"/>
        <v>6.1114940500775674</v>
      </c>
      <c r="AH28" s="228">
        <f t="shared" si="12"/>
        <v>5.7684822459752221</v>
      </c>
    </row>
    <row r="29" spans="1:34" ht="15" customHeight="1" x14ac:dyDescent="0.2">
      <c r="A29" s="231"/>
      <c r="B29" s="231" t="s">
        <v>151</v>
      </c>
      <c r="C29" s="233">
        <f t="shared" ref="C29:AH29" si="13">C15/3</f>
        <v>0.45833333333333331</v>
      </c>
      <c r="D29" s="233">
        <f t="shared" si="13"/>
        <v>0.45833333333333331</v>
      </c>
      <c r="E29" s="234">
        <f t="shared" si="13"/>
        <v>0.41666666666666669</v>
      </c>
      <c r="F29" s="234">
        <f t="shared" si="13"/>
        <v>0.41666666666666669</v>
      </c>
      <c r="G29" s="235">
        <f t="shared" si="13"/>
        <v>0.375</v>
      </c>
      <c r="H29" s="235">
        <f t="shared" si="13"/>
        <v>0.375</v>
      </c>
      <c r="I29" s="236">
        <f t="shared" si="13"/>
        <v>0.33333333333333331</v>
      </c>
      <c r="J29" s="236">
        <f t="shared" si="13"/>
        <v>0.33333333333333331</v>
      </c>
      <c r="K29" s="236">
        <f t="shared" si="13"/>
        <v>0.33333333333333331</v>
      </c>
      <c r="L29" s="237">
        <f t="shared" si="13"/>
        <v>0.29166666666666669</v>
      </c>
      <c r="M29" s="237">
        <f t="shared" si="13"/>
        <v>0.29166666666666669</v>
      </c>
      <c r="N29" s="237">
        <f t="shared" si="13"/>
        <v>0.29166666666666669</v>
      </c>
      <c r="O29" s="238">
        <f t="shared" si="13"/>
        <v>0.25</v>
      </c>
      <c r="P29" s="238">
        <f t="shared" si="13"/>
        <v>0.25</v>
      </c>
      <c r="Q29" s="238">
        <f t="shared" si="13"/>
        <v>0.25</v>
      </c>
      <c r="R29" s="238">
        <f t="shared" si="13"/>
        <v>0.25</v>
      </c>
      <c r="S29" s="239">
        <f t="shared" si="13"/>
        <v>0.20833333333333334</v>
      </c>
      <c r="T29" s="239">
        <f t="shared" si="13"/>
        <v>0.20833333333333334</v>
      </c>
      <c r="U29" s="239">
        <f t="shared" si="13"/>
        <v>0.20833333333333334</v>
      </c>
      <c r="V29" s="239">
        <f t="shared" si="13"/>
        <v>0.20833333333333334</v>
      </c>
      <c r="W29" s="240">
        <f t="shared" si="13"/>
        <v>0.16666666666666666</v>
      </c>
      <c r="X29" s="240">
        <f t="shared" si="13"/>
        <v>0.16666666666666666</v>
      </c>
      <c r="Y29" s="229">
        <f t="shared" si="13"/>
        <v>0.14583333333333334</v>
      </c>
      <c r="Z29" s="229">
        <f t="shared" si="13"/>
        <v>0.14583333333333334</v>
      </c>
      <c r="AA29" s="229">
        <f t="shared" si="13"/>
        <v>0.14583333333333334</v>
      </c>
      <c r="AB29" s="106">
        <f t="shared" si="13"/>
        <v>0.125</v>
      </c>
      <c r="AC29" s="106">
        <f t="shared" si="13"/>
        <v>0.125</v>
      </c>
      <c r="AD29" s="106">
        <f t="shared" si="13"/>
        <v>0.125</v>
      </c>
      <c r="AE29" s="106">
        <f t="shared" si="13"/>
        <v>0.125</v>
      </c>
      <c r="AF29" s="230">
        <f t="shared" si="13"/>
        <v>8.3333333333333329E-2</v>
      </c>
      <c r="AG29" s="230">
        <f t="shared" si="13"/>
        <v>8.3333333333333329E-2</v>
      </c>
      <c r="AH29" s="230">
        <f t="shared" si="13"/>
        <v>8.3333333333333329E-2</v>
      </c>
    </row>
    <row r="30" spans="1:34" ht="15" customHeight="1" x14ac:dyDescent="0.2">
      <c r="A30" s="231"/>
      <c r="B30" s="231" t="s">
        <v>235</v>
      </c>
      <c r="C30" s="219">
        <f t="shared" ref="C30:AH30" si="14">C28-(C11+C29)</f>
        <v>4.4094977545953604</v>
      </c>
      <c r="D30" s="219">
        <f t="shared" si="14"/>
        <v>4.4141299729329653</v>
      </c>
      <c r="E30" s="220">
        <f t="shared" si="14"/>
        <v>4.5023333333333326</v>
      </c>
      <c r="F30" s="220">
        <f t="shared" si="14"/>
        <v>4.5076621639294991</v>
      </c>
      <c r="G30" s="221">
        <f t="shared" si="14"/>
        <v>3.1546805187224543</v>
      </c>
      <c r="H30" s="221">
        <f t="shared" si="14"/>
        <v>3.1606095898144098</v>
      </c>
      <c r="I30" s="222">
        <f t="shared" si="14"/>
        <v>2.7406428669769411</v>
      </c>
      <c r="J30" s="222">
        <f t="shared" si="14"/>
        <v>2.7445956505675682</v>
      </c>
      <c r="K30" s="222">
        <f t="shared" si="14"/>
        <v>2.7495555272123333</v>
      </c>
      <c r="L30" s="223">
        <f t="shared" si="14"/>
        <v>2.0768670875518644</v>
      </c>
      <c r="M30" s="223">
        <f t="shared" si="14"/>
        <v>2.0811175017143775</v>
      </c>
      <c r="N30" s="223">
        <f t="shared" si="14"/>
        <v>2.0851229043752433</v>
      </c>
      <c r="O30" s="224">
        <f t="shared" si="14"/>
        <v>1.8569155439643463</v>
      </c>
      <c r="P30" s="224">
        <f t="shared" si="14"/>
        <v>1.8597316531331494</v>
      </c>
      <c r="Q30" s="224">
        <f t="shared" si="14"/>
        <v>1.8629999999999995</v>
      </c>
      <c r="R30" s="224">
        <f t="shared" si="14"/>
        <v>1.4616644152980793</v>
      </c>
      <c r="S30" s="225">
        <f t="shared" si="14"/>
        <v>1.5055069260278913</v>
      </c>
      <c r="T30" s="225">
        <f t="shared" si="14"/>
        <v>1.5084714615738672</v>
      </c>
      <c r="U30" s="225">
        <f t="shared" si="14"/>
        <v>1.5106547668218031</v>
      </c>
      <c r="V30" s="225">
        <f t="shared" si="14"/>
        <v>1.0666311586171133</v>
      </c>
      <c r="W30" s="226">
        <f t="shared" si="14"/>
        <v>1.1107777636061655</v>
      </c>
      <c r="X30" s="226">
        <f t="shared" si="14"/>
        <v>1.1126002104425972</v>
      </c>
      <c r="Y30" s="227">
        <f t="shared" si="14"/>
        <v>0.95755875085718856</v>
      </c>
      <c r="Z30" s="227">
        <f t="shared" si="14"/>
        <v>0.95906145218761729</v>
      </c>
      <c r="AA30" s="227">
        <f t="shared" si="14"/>
        <v>0.9611244386488389</v>
      </c>
      <c r="AB30" s="74">
        <f t="shared" si="14"/>
        <v>0.80086582656657068</v>
      </c>
      <c r="AC30" s="74">
        <f t="shared" si="14"/>
        <v>0.57500000000000018</v>
      </c>
      <c r="AD30" s="74">
        <f t="shared" si="14"/>
        <v>0.64283220764903959</v>
      </c>
      <c r="AE30" s="74">
        <f t="shared" si="14"/>
        <v>0.73492012968061093</v>
      </c>
      <c r="AF30" s="228">
        <f t="shared" si="14"/>
        <v>0.89156906412026782</v>
      </c>
      <c r="AG30" s="228">
        <f t="shared" si="14"/>
        <v>1.0281607167442344</v>
      </c>
      <c r="AH30" s="228">
        <f t="shared" si="14"/>
        <v>1.185148912641889</v>
      </c>
    </row>
    <row r="31" spans="1:34" ht="15" customHeight="1" x14ac:dyDescent="0.2">
      <c r="A31" s="231"/>
      <c r="B31" s="231" t="s">
        <v>236</v>
      </c>
      <c r="C31" s="207">
        <v>4.4800000000000004</v>
      </c>
      <c r="D31" s="207">
        <v>4.4800000000000004</v>
      </c>
      <c r="E31" s="208">
        <v>4.5599999999999996</v>
      </c>
      <c r="F31" s="208">
        <v>4.5599999999999996</v>
      </c>
      <c r="G31" s="209">
        <v>3.19</v>
      </c>
      <c r="H31" s="209">
        <v>3.19</v>
      </c>
      <c r="I31" s="210">
        <v>2.76</v>
      </c>
      <c r="J31" s="210">
        <v>2.76</v>
      </c>
      <c r="K31" s="210">
        <v>2.76</v>
      </c>
      <c r="L31" s="211">
        <v>2.09</v>
      </c>
      <c r="M31" s="211">
        <v>2.09</v>
      </c>
      <c r="N31" s="211">
        <v>2.09</v>
      </c>
      <c r="O31" s="212">
        <v>1.84</v>
      </c>
      <c r="P31" s="212">
        <v>1.84</v>
      </c>
      <c r="Q31" s="212">
        <v>1.84</v>
      </c>
      <c r="R31" s="212">
        <v>1.47</v>
      </c>
      <c r="S31" s="213">
        <v>1.47</v>
      </c>
      <c r="T31" s="213">
        <v>1.47</v>
      </c>
      <c r="U31" s="213">
        <v>1.47</v>
      </c>
      <c r="V31" s="213">
        <v>1.06</v>
      </c>
      <c r="W31" s="214">
        <v>1.06</v>
      </c>
      <c r="X31" s="214">
        <v>1.06</v>
      </c>
      <c r="Y31" s="215">
        <v>0.90200000000000002</v>
      </c>
      <c r="Z31" s="215">
        <v>0.90200000000000002</v>
      </c>
      <c r="AA31" s="215">
        <v>0.90200000000000002</v>
      </c>
      <c r="AB31" s="170"/>
      <c r="AC31" s="170"/>
      <c r="AD31" s="170"/>
      <c r="AE31" s="170"/>
      <c r="AF31" s="216"/>
      <c r="AG31" s="216"/>
      <c r="AH31" s="216"/>
    </row>
    <row r="32" spans="1:34" ht="15" customHeight="1" x14ac:dyDescent="0.2">
      <c r="A32" s="231"/>
      <c r="B32" s="231" t="s">
        <v>237</v>
      </c>
      <c r="C32" s="207" t="str">
        <f t="shared" ref="C32:AH32" si="15">CEILING(C11/C15,0.1)&amp;":"&amp;(C15/C15)</f>
        <v>21.7:1</v>
      </c>
      <c r="D32" s="207" t="str">
        <f t="shared" si="15"/>
        <v>20.2:1</v>
      </c>
      <c r="E32" s="208" t="str">
        <f t="shared" si="15"/>
        <v>20.8:1</v>
      </c>
      <c r="F32" s="208" t="str">
        <f t="shared" si="15"/>
        <v>19.4:1</v>
      </c>
      <c r="G32" s="209" t="str">
        <f t="shared" si="15"/>
        <v>21.3:1</v>
      </c>
      <c r="H32" s="209" t="str">
        <f t="shared" si="15"/>
        <v>19.9:1</v>
      </c>
      <c r="I32" s="210" t="str">
        <f t="shared" si="15"/>
        <v>21.4:1</v>
      </c>
      <c r="J32" s="210" t="str">
        <f t="shared" si="15"/>
        <v>20:1</v>
      </c>
      <c r="K32" s="210" t="str">
        <f t="shared" si="15"/>
        <v>18.7:1</v>
      </c>
      <c r="L32" s="211" t="str">
        <f t="shared" si="15"/>
        <v>20.8:1</v>
      </c>
      <c r="M32" s="211" t="str">
        <f t="shared" si="15"/>
        <v>19.5:1</v>
      </c>
      <c r="N32" s="211" t="str">
        <f t="shared" si="15"/>
        <v>18.3:1</v>
      </c>
      <c r="O32" s="212" t="str">
        <f t="shared" si="15"/>
        <v>20.3:1</v>
      </c>
      <c r="P32" s="212" t="str">
        <f t="shared" si="15"/>
        <v>19:1</v>
      </c>
      <c r="Q32" s="212" t="str">
        <f t="shared" si="15"/>
        <v>17.8:1</v>
      </c>
      <c r="R32" s="212" t="str">
        <f t="shared" si="15"/>
        <v>17.1:1</v>
      </c>
      <c r="S32" s="213" t="str">
        <f t="shared" si="15"/>
        <v>19.3:1</v>
      </c>
      <c r="T32" s="213" t="str">
        <f t="shared" si="15"/>
        <v>18:1</v>
      </c>
      <c r="U32" s="213" t="str">
        <f t="shared" si="15"/>
        <v>16.9:1</v>
      </c>
      <c r="V32" s="213" t="str">
        <f t="shared" si="15"/>
        <v>16.5:1</v>
      </c>
      <c r="W32" s="214" t="str">
        <f t="shared" si="15"/>
        <v>19.3:1</v>
      </c>
      <c r="X32" s="214" t="str">
        <f t="shared" si="15"/>
        <v>18:1</v>
      </c>
      <c r="Y32" s="215" t="str">
        <f t="shared" si="15"/>
        <v>19.7:1</v>
      </c>
      <c r="Z32" s="215" t="str">
        <f t="shared" si="15"/>
        <v>18.5:1</v>
      </c>
      <c r="AA32" s="215" t="str">
        <f t="shared" si="15"/>
        <v>17.3:1</v>
      </c>
      <c r="AB32" s="170" t="str">
        <f t="shared" si="15"/>
        <v>19.3:1</v>
      </c>
      <c r="AC32" s="170" t="str">
        <f t="shared" si="15"/>
        <v>18.7:1</v>
      </c>
      <c r="AD32" s="170" t="str">
        <f t="shared" si="15"/>
        <v>17.4:1</v>
      </c>
      <c r="AE32" s="170" t="str">
        <f t="shared" si="15"/>
        <v>16:1</v>
      </c>
      <c r="AF32" s="216" t="str">
        <f t="shared" si="15"/>
        <v>22:1</v>
      </c>
      <c r="AG32" s="216" t="str">
        <f t="shared" si="15"/>
        <v>20:1</v>
      </c>
      <c r="AH32" s="216" t="str">
        <f t="shared" si="15"/>
        <v>18:1</v>
      </c>
    </row>
    <row r="33" spans="1:34" ht="15" customHeight="1" x14ac:dyDescent="0.2">
      <c r="A33" s="254"/>
      <c r="B33" s="255" t="s">
        <v>238</v>
      </c>
      <c r="C33" s="254"/>
      <c r="D33" s="254"/>
      <c r="E33" s="254"/>
      <c r="F33" s="254"/>
      <c r="G33" s="254"/>
      <c r="H33" s="254"/>
      <c r="I33" s="254"/>
      <c r="J33" s="254"/>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H33" s="254"/>
    </row>
    <row r="34" spans="1:34" ht="15" customHeight="1" x14ac:dyDescent="0.2">
      <c r="A34" s="62"/>
      <c r="B34" s="245" t="s">
        <v>239</v>
      </c>
      <c r="C34" s="170" t="s">
        <v>205</v>
      </c>
      <c r="D34" s="170" t="s">
        <v>206</v>
      </c>
      <c r="E34" s="170" t="s">
        <v>207</v>
      </c>
      <c r="F34" s="170" t="s">
        <v>208</v>
      </c>
      <c r="G34" s="170" t="s">
        <v>209</v>
      </c>
      <c r="H34" s="170" t="s">
        <v>6</v>
      </c>
      <c r="I34" s="170" t="s">
        <v>7</v>
      </c>
      <c r="J34" s="170" t="s">
        <v>8</v>
      </c>
      <c r="K34" s="170" t="s">
        <v>9</v>
      </c>
      <c r="L34" s="170" t="s">
        <v>10</v>
      </c>
      <c r="M34" s="170" t="s">
        <v>240</v>
      </c>
      <c r="N34" s="170" t="s">
        <v>12</v>
      </c>
      <c r="O34" s="170" t="s">
        <v>13</v>
      </c>
      <c r="P34" s="170" t="s">
        <v>14</v>
      </c>
      <c r="Q34" s="170" t="s">
        <v>15</v>
      </c>
      <c r="R34" s="170" t="s">
        <v>16</v>
      </c>
      <c r="S34" s="170" t="s">
        <v>17</v>
      </c>
      <c r="T34" s="170" t="s">
        <v>18</v>
      </c>
      <c r="U34" s="170" t="s">
        <v>19</v>
      </c>
      <c r="V34" s="170" t="s">
        <v>20</v>
      </c>
      <c r="W34" s="170" t="s">
        <v>35</v>
      </c>
      <c r="X34" s="170" t="s">
        <v>210</v>
      </c>
      <c r="Y34" s="170" t="s">
        <v>211</v>
      </c>
      <c r="Z34" s="170" t="s">
        <v>45</v>
      </c>
      <c r="AA34" s="170" t="s">
        <v>212</v>
      </c>
      <c r="AB34" s="170" t="s">
        <v>213</v>
      </c>
      <c r="AC34" s="170" t="s">
        <v>47</v>
      </c>
      <c r="AD34" s="170" t="s">
        <v>50</v>
      </c>
      <c r="AE34" s="170" t="s">
        <v>54</v>
      </c>
      <c r="AF34" s="170" t="s">
        <v>55</v>
      </c>
      <c r="AG34" s="170" t="s">
        <v>214</v>
      </c>
      <c r="AH34" s="170" t="s">
        <v>58</v>
      </c>
    </row>
    <row r="35" spans="1:34" ht="15" customHeight="1" x14ac:dyDescent="0.2">
      <c r="A35" s="63"/>
      <c r="B35" s="256" t="s">
        <v>241</v>
      </c>
      <c r="C35" s="23">
        <f t="shared" ref="C35:AH35" si="16">((2^(1/12))^(C2-49))*440</f>
        <v>195.99771799087461</v>
      </c>
      <c r="D35" s="23">
        <f t="shared" si="16"/>
        <v>207.65234878997256</v>
      </c>
      <c r="E35" s="23">
        <f t="shared" si="16"/>
        <v>220</v>
      </c>
      <c r="F35" s="23">
        <f t="shared" si="16"/>
        <v>233.08188075904491</v>
      </c>
      <c r="G35" s="23">
        <f t="shared" si="16"/>
        <v>246.94165062806201</v>
      </c>
      <c r="H35" s="23">
        <f t="shared" si="16"/>
        <v>261.62556530059862</v>
      </c>
      <c r="I35" s="23">
        <f t="shared" si="16"/>
        <v>277.18263097687208</v>
      </c>
      <c r="J35" s="23">
        <f t="shared" si="16"/>
        <v>293.66476791740752</v>
      </c>
      <c r="K35" s="23">
        <f t="shared" si="16"/>
        <v>311.12698372208087</v>
      </c>
      <c r="L35" s="23">
        <f t="shared" si="16"/>
        <v>329.62755691286992</v>
      </c>
      <c r="M35" s="23">
        <f t="shared" si="16"/>
        <v>349.22823143300388</v>
      </c>
      <c r="N35" s="23">
        <f t="shared" si="16"/>
        <v>369.99442271163434</v>
      </c>
      <c r="O35" s="23">
        <f t="shared" si="16"/>
        <v>391.99543598174927</v>
      </c>
      <c r="P35" s="23">
        <f t="shared" si="16"/>
        <v>415.30469757994513</v>
      </c>
      <c r="Q35" s="23">
        <f t="shared" si="16"/>
        <v>440</v>
      </c>
      <c r="R35" s="23">
        <f t="shared" si="16"/>
        <v>466.16376151808993</v>
      </c>
      <c r="S35" s="23">
        <f t="shared" si="16"/>
        <v>493.88330125612413</v>
      </c>
      <c r="T35" s="23">
        <f t="shared" si="16"/>
        <v>523.25113060119736</v>
      </c>
      <c r="U35" s="23">
        <f t="shared" si="16"/>
        <v>554.36526195374415</v>
      </c>
      <c r="V35" s="23">
        <f t="shared" si="16"/>
        <v>587.32953583481515</v>
      </c>
      <c r="W35" s="23">
        <f t="shared" si="16"/>
        <v>622.25396744416184</v>
      </c>
      <c r="X35" s="23">
        <f t="shared" si="16"/>
        <v>659.25511382573995</v>
      </c>
      <c r="Y35" s="23">
        <f t="shared" si="16"/>
        <v>698.45646286600777</v>
      </c>
      <c r="Z35" s="23">
        <f t="shared" si="16"/>
        <v>739.98884542326891</v>
      </c>
      <c r="AA35" s="23">
        <f t="shared" si="16"/>
        <v>783.99087196349865</v>
      </c>
      <c r="AB35" s="23">
        <f t="shared" si="16"/>
        <v>830.60939515989048</v>
      </c>
      <c r="AC35" s="23">
        <f t="shared" si="16"/>
        <v>880</v>
      </c>
      <c r="AD35" s="23">
        <f t="shared" si="16"/>
        <v>932.32752303617985</v>
      </c>
      <c r="AE35" s="23">
        <f t="shared" si="16"/>
        <v>987.76660251224848</v>
      </c>
      <c r="AF35" s="23">
        <f t="shared" si="16"/>
        <v>1046.5022612023947</v>
      </c>
      <c r="AG35" s="23">
        <f t="shared" si="16"/>
        <v>1108.7305239074885</v>
      </c>
      <c r="AH35" s="23">
        <f t="shared" si="16"/>
        <v>1174.6590716696305</v>
      </c>
    </row>
    <row r="36" spans="1:34" ht="15" customHeight="1" x14ac:dyDescent="0.2">
      <c r="A36" s="257"/>
      <c r="B36" s="245" t="s">
        <v>242</v>
      </c>
      <c r="C36" s="258" t="s">
        <v>243</v>
      </c>
      <c r="D36" s="258" t="s">
        <v>5</v>
      </c>
      <c r="E36" s="258" t="s">
        <v>244</v>
      </c>
      <c r="F36" s="258" t="s">
        <v>245</v>
      </c>
      <c r="G36" s="258" t="s">
        <v>24</v>
      </c>
      <c r="H36" s="258" t="s">
        <v>9</v>
      </c>
      <c r="I36" s="258" t="s">
        <v>25</v>
      </c>
      <c r="J36" s="258" t="s">
        <v>11</v>
      </c>
      <c r="K36" s="258" t="s">
        <v>26</v>
      </c>
      <c r="L36" s="258" t="s">
        <v>27</v>
      </c>
      <c r="M36" s="258" t="s">
        <v>28</v>
      </c>
      <c r="N36" s="258" t="s">
        <v>29</v>
      </c>
      <c r="O36" s="258" t="s">
        <v>30</v>
      </c>
      <c r="P36" s="258" t="s">
        <v>31</v>
      </c>
      <c r="Q36" s="258" t="s">
        <v>32</v>
      </c>
      <c r="R36" s="258" t="s">
        <v>33</v>
      </c>
      <c r="S36" s="258" t="s">
        <v>34</v>
      </c>
      <c r="T36" s="258" t="s">
        <v>35</v>
      </c>
      <c r="U36" s="258" t="s">
        <v>36</v>
      </c>
      <c r="V36" s="258" t="s">
        <v>37</v>
      </c>
      <c r="W36" s="258" t="s">
        <v>41</v>
      </c>
      <c r="X36" s="258" t="s">
        <v>42</v>
      </c>
      <c r="Y36" s="258" t="s">
        <v>46</v>
      </c>
      <c r="Z36" s="258" t="s">
        <v>47</v>
      </c>
      <c r="AA36" s="258" t="s">
        <v>50</v>
      </c>
      <c r="AB36" s="258" t="s">
        <v>54</v>
      </c>
      <c r="AC36" s="258" t="s">
        <v>55</v>
      </c>
      <c r="AD36" s="258" t="s">
        <v>246</v>
      </c>
      <c r="AE36" s="258" t="s">
        <v>58</v>
      </c>
      <c r="AF36" s="258" t="s">
        <v>247</v>
      </c>
      <c r="AG36" s="258" t="s">
        <v>248</v>
      </c>
      <c r="AH36" s="258" t="s">
        <v>249</v>
      </c>
    </row>
    <row r="37" spans="1:34" ht="15" customHeight="1" x14ac:dyDescent="0.35">
      <c r="A37" s="259"/>
      <c r="B37" s="256" t="s">
        <v>250</v>
      </c>
      <c r="C37" s="260">
        <f t="shared" ref="C37:AH37" si="17">((2^(1/12))^(C2+3-49))*440</f>
        <v>233.08188075904491</v>
      </c>
      <c r="D37" s="260">
        <f t="shared" si="17"/>
        <v>246.94165062806201</v>
      </c>
      <c r="E37" s="260">
        <f t="shared" si="17"/>
        <v>261.62556530059862</v>
      </c>
      <c r="F37" s="260">
        <f t="shared" si="17"/>
        <v>277.18263097687208</v>
      </c>
      <c r="G37" s="260">
        <f t="shared" si="17"/>
        <v>293.66476791740752</v>
      </c>
      <c r="H37" s="260">
        <f t="shared" si="17"/>
        <v>311.12698372208087</v>
      </c>
      <c r="I37" s="260">
        <f t="shared" si="17"/>
        <v>329.62755691286992</v>
      </c>
      <c r="J37" s="260">
        <f t="shared" si="17"/>
        <v>349.22823143300388</v>
      </c>
      <c r="K37" s="260">
        <f t="shared" si="17"/>
        <v>369.99442271163434</v>
      </c>
      <c r="L37" s="260">
        <f t="shared" si="17"/>
        <v>391.99543598174927</v>
      </c>
      <c r="M37" s="260">
        <f t="shared" si="17"/>
        <v>415.30469757994513</v>
      </c>
      <c r="N37" s="260">
        <f t="shared" si="17"/>
        <v>440</v>
      </c>
      <c r="O37" s="260">
        <f t="shared" si="17"/>
        <v>466.16376151808993</v>
      </c>
      <c r="P37" s="260">
        <f t="shared" si="17"/>
        <v>493.88330125612413</v>
      </c>
      <c r="Q37" s="260">
        <f t="shared" si="17"/>
        <v>523.25113060119736</v>
      </c>
      <c r="R37" s="260">
        <f t="shared" si="17"/>
        <v>554.36526195374415</v>
      </c>
      <c r="S37" s="260">
        <f t="shared" si="17"/>
        <v>587.32953583481515</v>
      </c>
      <c r="T37" s="260">
        <f t="shared" si="17"/>
        <v>622.25396744416184</v>
      </c>
      <c r="U37" s="260">
        <f t="shared" si="17"/>
        <v>659.25511382573995</v>
      </c>
      <c r="V37" s="260">
        <f t="shared" si="17"/>
        <v>698.45646286600777</v>
      </c>
      <c r="W37" s="260">
        <f t="shared" si="17"/>
        <v>739.98884542326891</v>
      </c>
      <c r="X37" s="260">
        <f t="shared" si="17"/>
        <v>783.99087196349865</v>
      </c>
      <c r="Y37" s="260">
        <f t="shared" si="17"/>
        <v>830.60939515989048</v>
      </c>
      <c r="Z37" s="260">
        <f t="shared" si="17"/>
        <v>880</v>
      </c>
      <c r="AA37" s="260">
        <f t="shared" si="17"/>
        <v>932.32752303617985</v>
      </c>
      <c r="AB37" s="260">
        <f t="shared" si="17"/>
        <v>987.76660251224848</v>
      </c>
      <c r="AC37" s="260">
        <f t="shared" si="17"/>
        <v>1046.5022612023947</v>
      </c>
      <c r="AD37" s="260">
        <f t="shared" si="17"/>
        <v>1108.7305239074885</v>
      </c>
      <c r="AE37" s="260">
        <f t="shared" si="17"/>
        <v>1174.6590716696305</v>
      </c>
      <c r="AF37" s="260">
        <f t="shared" si="17"/>
        <v>1244.5079348883239</v>
      </c>
      <c r="AG37" s="260">
        <f t="shared" si="17"/>
        <v>1318.5102276514801</v>
      </c>
      <c r="AH37" s="260">
        <f t="shared" si="17"/>
        <v>1396.9129257320158</v>
      </c>
    </row>
    <row r="38" spans="1:34" ht="15" customHeight="1" x14ac:dyDescent="0.35">
      <c r="A38" s="261" t="s">
        <v>82</v>
      </c>
      <c r="B38" s="262" t="s">
        <v>251</v>
      </c>
      <c r="C38" s="263">
        <v>0.42</v>
      </c>
      <c r="D38" s="263">
        <v>0.42</v>
      </c>
      <c r="E38" s="263">
        <v>0.42</v>
      </c>
      <c r="F38" s="263">
        <v>0.42</v>
      </c>
      <c r="G38" s="263">
        <v>0.42</v>
      </c>
      <c r="H38" s="263">
        <v>0.42</v>
      </c>
      <c r="I38" s="263">
        <v>0.4</v>
      </c>
      <c r="J38" s="263">
        <v>0.4</v>
      </c>
      <c r="K38" s="263">
        <v>0.4</v>
      </c>
      <c r="L38" s="263">
        <v>0.37</v>
      </c>
      <c r="M38" s="263">
        <v>0.37</v>
      </c>
      <c r="N38" s="263">
        <v>0.37</v>
      </c>
      <c r="O38" s="263">
        <v>0.37</v>
      </c>
      <c r="P38" s="263">
        <v>0.37</v>
      </c>
      <c r="Q38" s="263">
        <v>0.37</v>
      </c>
      <c r="R38" s="263">
        <v>0.33</v>
      </c>
      <c r="S38" s="263">
        <v>0.33</v>
      </c>
      <c r="T38" s="263">
        <v>0.33</v>
      </c>
      <c r="U38" s="263">
        <v>0.33</v>
      </c>
      <c r="V38" s="263">
        <v>0.33</v>
      </c>
      <c r="W38" s="263">
        <v>0.33</v>
      </c>
      <c r="X38" s="263">
        <v>0.33</v>
      </c>
      <c r="Y38" s="263">
        <v>0.32</v>
      </c>
      <c r="Z38" s="263">
        <v>0.32</v>
      </c>
      <c r="AA38" s="263">
        <v>0.32</v>
      </c>
      <c r="AB38" s="263">
        <v>0.32</v>
      </c>
      <c r="AC38" s="264"/>
      <c r="AD38" s="264"/>
      <c r="AE38" s="264"/>
      <c r="AF38" s="264"/>
      <c r="AG38" s="264"/>
      <c r="AH38" s="264"/>
    </row>
    <row r="39" spans="1:34" ht="15" customHeight="1" x14ac:dyDescent="0.35">
      <c r="A39" s="261" t="s">
        <v>85</v>
      </c>
      <c r="B39" s="262" t="s">
        <v>252</v>
      </c>
      <c r="C39" s="263">
        <v>9.6880000000000006</v>
      </c>
      <c r="D39" s="263">
        <v>9.3119999999999994</v>
      </c>
      <c r="E39" s="263">
        <v>8.0269999999999992</v>
      </c>
      <c r="F39" s="263">
        <v>7.7069999999999999</v>
      </c>
      <c r="G39" s="263">
        <v>6.8920000000000003</v>
      </c>
      <c r="H39" s="263">
        <v>6.61</v>
      </c>
      <c r="I39" s="263">
        <v>6.0140000000000002</v>
      </c>
      <c r="J39" s="263">
        <v>5.7640000000000002</v>
      </c>
      <c r="K39" s="263">
        <v>5.5259999999999998</v>
      </c>
      <c r="L39" s="263">
        <v>4.8449999999999998</v>
      </c>
      <c r="M39" s="263">
        <v>4.6379999999999999</v>
      </c>
      <c r="N39" s="263">
        <v>4.4409999999999998</v>
      </c>
      <c r="O39" s="263">
        <v>3.8940000000000001</v>
      </c>
      <c r="P39" s="263">
        <v>3.7229999999999999</v>
      </c>
      <c r="Q39" s="263">
        <v>3.56</v>
      </c>
      <c r="R39" s="263">
        <v>3.2320000000000002</v>
      </c>
      <c r="S39" s="263">
        <v>3.0880000000000001</v>
      </c>
      <c r="T39" s="263">
        <v>2.9510000000000001</v>
      </c>
      <c r="U39" s="263">
        <v>2.8210000000000002</v>
      </c>
      <c r="V39" s="263">
        <v>2.3180000000000001</v>
      </c>
      <c r="W39" s="263">
        <v>2.2080000000000002</v>
      </c>
      <c r="X39" s="263">
        <v>2.1030000000000002</v>
      </c>
      <c r="Y39" s="263">
        <v>1.913</v>
      </c>
      <c r="Z39" s="263">
        <v>1.821</v>
      </c>
      <c r="AA39" s="263">
        <v>1.7330000000000001</v>
      </c>
      <c r="AB39" s="263">
        <v>1.5489999999999999</v>
      </c>
      <c r="AC39" s="264"/>
      <c r="AD39" s="264"/>
      <c r="AE39" s="264"/>
      <c r="AF39" s="264"/>
      <c r="AG39" s="264"/>
      <c r="AH39" s="264"/>
    </row>
    <row r="40" spans="1:34" ht="15" customHeight="1" x14ac:dyDescent="0.2">
      <c r="A40" s="265"/>
      <c r="B40" s="245" t="s">
        <v>253</v>
      </c>
      <c r="C40" s="266" t="s">
        <v>244</v>
      </c>
      <c r="D40" s="266" t="s">
        <v>245</v>
      </c>
      <c r="E40" s="266" t="s">
        <v>24</v>
      </c>
      <c r="F40" s="266" t="s">
        <v>254</v>
      </c>
      <c r="G40" s="266" t="s">
        <v>25</v>
      </c>
      <c r="H40" s="266" t="s">
        <v>11</v>
      </c>
      <c r="I40" s="266" t="s">
        <v>26</v>
      </c>
      <c r="J40" s="266" t="s">
        <v>27</v>
      </c>
      <c r="K40" s="266" t="s">
        <v>28</v>
      </c>
      <c r="L40" s="266" t="s">
        <v>29</v>
      </c>
      <c r="M40" s="266" t="s">
        <v>30</v>
      </c>
      <c r="N40" s="266" t="s">
        <v>31</v>
      </c>
      <c r="O40" s="266" t="s">
        <v>32</v>
      </c>
      <c r="P40" s="266" t="s">
        <v>33</v>
      </c>
      <c r="Q40" s="266" t="s">
        <v>34</v>
      </c>
      <c r="R40" s="266" t="s">
        <v>40</v>
      </c>
      <c r="S40" s="266" t="s">
        <v>36</v>
      </c>
      <c r="T40" s="266" t="s">
        <v>37</v>
      </c>
      <c r="U40" s="266" t="s">
        <v>41</v>
      </c>
      <c r="V40" s="266" t="s">
        <v>42</v>
      </c>
      <c r="W40" s="266" t="s">
        <v>46</v>
      </c>
      <c r="X40" s="266" t="s">
        <v>47</v>
      </c>
      <c r="Y40" s="266" t="s">
        <v>50</v>
      </c>
      <c r="Z40" s="266" t="s">
        <v>54</v>
      </c>
      <c r="AA40" s="266" t="s">
        <v>55</v>
      </c>
      <c r="AB40" s="266" t="s">
        <v>246</v>
      </c>
      <c r="AC40" s="266" t="s">
        <v>58</v>
      </c>
      <c r="AD40" s="266" t="s">
        <v>255</v>
      </c>
      <c r="AE40" s="266" t="s">
        <v>248</v>
      </c>
      <c r="AF40" s="266" t="s">
        <v>249</v>
      </c>
      <c r="AG40" s="266" t="s">
        <v>256</v>
      </c>
      <c r="AH40" s="266" t="s">
        <v>257</v>
      </c>
    </row>
    <row r="41" spans="1:34" ht="15" customHeight="1" x14ac:dyDescent="0.35">
      <c r="A41" s="267"/>
      <c r="B41" s="256" t="s">
        <v>250</v>
      </c>
      <c r="C41" s="268">
        <f t="shared" ref="C41:AH41" si="18">((2^(1/12))^(C2+5-49))*440</f>
        <v>261.62556530059862</v>
      </c>
      <c r="D41" s="268">
        <f t="shared" si="18"/>
        <v>277.18263097687208</v>
      </c>
      <c r="E41" s="268">
        <f t="shared" si="18"/>
        <v>293.66476791740752</v>
      </c>
      <c r="F41" s="268">
        <f t="shared" si="18"/>
        <v>311.12698372208087</v>
      </c>
      <c r="G41" s="268">
        <f t="shared" si="18"/>
        <v>329.62755691286992</v>
      </c>
      <c r="H41" s="268">
        <f t="shared" si="18"/>
        <v>349.22823143300388</v>
      </c>
      <c r="I41" s="268">
        <f t="shared" si="18"/>
        <v>369.99442271163434</v>
      </c>
      <c r="J41" s="268">
        <f t="shared" si="18"/>
        <v>391.99543598174927</v>
      </c>
      <c r="K41" s="268">
        <f t="shared" si="18"/>
        <v>415.30469757994513</v>
      </c>
      <c r="L41" s="268">
        <f t="shared" si="18"/>
        <v>440</v>
      </c>
      <c r="M41" s="268">
        <f t="shared" si="18"/>
        <v>466.16376151808993</v>
      </c>
      <c r="N41" s="268">
        <f t="shared" si="18"/>
        <v>493.88330125612413</v>
      </c>
      <c r="O41" s="268">
        <f t="shared" si="18"/>
        <v>523.25113060119736</v>
      </c>
      <c r="P41" s="268">
        <f t="shared" si="18"/>
        <v>554.36526195374415</v>
      </c>
      <c r="Q41" s="268">
        <f t="shared" si="18"/>
        <v>587.32953583481515</v>
      </c>
      <c r="R41" s="268">
        <f t="shared" si="18"/>
        <v>622.25396744416184</v>
      </c>
      <c r="S41" s="268">
        <f t="shared" si="18"/>
        <v>659.25511382573995</v>
      </c>
      <c r="T41" s="268">
        <f t="shared" si="18"/>
        <v>698.45646286600777</v>
      </c>
      <c r="U41" s="268">
        <f t="shared" si="18"/>
        <v>739.98884542326891</v>
      </c>
      <c r="V41" s="268">
        <f t="shared" si="18"/>
        <v>783.99087196349865</v>
      </c>
      <c r="W41" s="268">
        <f t="shared" si="18"/>
        <v>830.60939515989048</v>
      </c>
      <c r="X41" s="268">
        <f t="shared" si="18"/>
        <v>880</v>
      </c>
      <c r="Y41" s="268">
        <f t="shared" si="18"/>
        <v>932.32752303617985</v>
      </c>
      <c r="Z41" s="268">
        <f t="shared" si="18"/>
        <v>987.76660251224848</v>
      </c>
      <c r="AA41" s="268">
        <f t="shared" si="18"/>
        <v>1046.5022612023947</v>
      </c>
      <c r="AB41" s="268">
        <f t="shared" si="18"/>
        <v>1108.7305239074885</v>
      </c>
      <c r="AC41" s="268">
        <f t="shared" si="18"/>
        <v>1174.6590716696305</v>
      </c>
      <c r="AD41" s="268">
        <f t="shared" si="18"/>
        <v>1244.5079348883239</v>
      </c>
      <c r="AE41" s="268">
        <f t="shared" si="18"/>
        <v>1318.5102276514801</v>
      </c>
      <c r="AF41" s="268">
        <f t="shared" si="18"/>
        <v>1396.9129257320158</v>
      </c>
      <c r="AG41" s="268">
        <f t="shared" si="18"/>
        <v>1479.9776908465378</v>
      </c>
      <c r="AH41" s="268">
        <f t="shared" si="18"/>
        <v>1567.9817439269975</v>
      </c>
    </row>
    <row r="42" spans="1:34" ht="15" customHeight="1" x14ac:dyDescent="0.35">
      <c r="A42" s="269" t="s">
        <v>88</v>
      </c>
      <c r="B42" s="262" t="s">
        <v>251</v>
      </c>
      <c r="C42" s="270">
        <v>0.45</v>
      </c>
      <c r="D42" s="270">
        <v>0.45</v>
      </c>
      <c r="E42" s="270">
        <v>0.45</v>
      </c>
      <c r="F42" s="270">
        <v>0.45</v>
      </c>
      <c r="G42" s="270">
        <v>0.45</v>
      </c>
      <c r="H42" s="270">
        <v>0.45</v>
      </c>
      <c r="I42" s="270">
        <v>0.43</v>
      </c>
      <c r="J42" s="270">
        <v>0.43</v>
      </c>
      <c r="K42" s="270">
        <v>0.43</v>
      </c>
      <c r="L42" s="270">
        <v>0.41</v>
      </c>
      <c r="M42" s="270">
        <v>0.41</v>
      </c>
      <c r="N42" s="270">
        <v>0.41</v>
      </c>
      <c r="O42" s="270">
        <v>0.41</v>
      </c>
      <c r="P42" s="270">
        <v>0.41</v>
      </c>
      <c r="Q42" s="270">
        <v>0.41</v>
      </c>
      <c r="R42" s="270">
        <v>0.35</v>
      </c>
      <c r="S42" s="270">
        <v>0.35</v>
      </c>
      <c r="T42" s="270">
        <v>0.35</v>
      </c>
      <c r="U42" s="270">
        <v>0.35</v>
      </c>
      <c r="V42" s="270">
        <v>0.35</v>
      </c>
      <c r="W42" s="270">
        <v>0.35</v>
      </c>
      <c r="X42" s="270">
        <v>0.35</v>
      </c>
      <c r="Y42" s="270">
        <v>0.3</v>
      </c>
      <c r="Z42" s="270">
        <v>0.3</v>
      </c>
      <c r="AA42" s="270">
        <v>0.3</v>
      </c>
      <c r="AB42" s="270">
        <v>0.3</v>
      </c>
      <c r="AC42" s="271"/>
      <c r="AD42" s="271"/>
      <c r="AE42" s="271"/>
      <c r="AF42" s="271"/>
      <c r="AG42" s="271"/>
      <c r="AH42" s="271"/>
    </row>
    <row r="43" spans="1:34" ht="15" customHeight="1" x14ac:dyDescent="0.35">
      <c r="A43" s="269" t="s">
        <v>91</v>
      </c>
      <c r="B43" s="262" t="s">
        <v>252</v>
      </c>
      <c r="C43" s="270">
        <v>12.016999999999999</v>
      </c>
      <c r="D43" s="270">
        <v>11.477</v>
      </c>
      <c r="E43" s="270">
        <v>10.220000000000001</v>
      </c>
      <c r="F43" s="270">
        <v>9.7460000000000004</v>
      </c>
      <c r="G43" s="270">
        <v>8.8889999999999993</v>
      </c>
      <c r="H43" s="270">
        <v>8.468</v>
      </c>
      <c r="I43" s="270">
        <v>7.8</v>
      </c>
      <c r="J43" s="270">
        <v>7.4269999999999996</v>
      </c>
      <c r="K43" s="270">
        <v>7.0720000000000001</v>
      </c>
      <c r="L43" s="270">
        <v>6.343</v>
      </c>
      <c r="M43" s="270">
        <v>6.032</v>
      </c>
      <c r="N43" s="270">
        <v>5.7380000000000004</v>
      </c>
      <c r="O43" s="270">
        <v>5.1859999999999999</v>
      </c>
      <c r="P43" s="270">
        <v>4.9269999999999996</v>
      </c>
      <c r="Q43" s="270">
        <v>4.681</v>
      </c>
      <c r="R43" s="270">
        <v>4.3609999999999998</v>
      </c>
      <c r="S43" s="270">
        <v>4.1420000000000003</v>
      </c>
      <c r="T43" s="270">
        <v>3.9350000000000001</v>
      </c>
      <c r="U43" s="270">
        <v>3.738</v>
      </c>
      <c r="V43" s="270">
        <v>3.2610000000000001</v>
      </c>
      <c r="W43" s="270">
        <v>3.0910000000000002</v>
      </c>
      <c r="X43" s="270">
        <v>2.93</v>
      </c>
      <c r="Y43" s="270">
        <v>2.7669999999999999</v>
      </c>
      <c r="Z43" s="270">
        <v>2.6230000000000002</v>
      </c>
      <c r="AA43" s="270">
        <v>2.4870000000000001</v>
      </c>
      <c r="AB43" s="270">
        <v>2.2639999999999998</v>
      </c>
      <c r="AC43" s="271"/>
      <c r="AD43" s="271"/>
      <c r="AE43" s="271"/>
      <c r="AF43" s="271"/>
      <c r="AG43" s="271"/>
      <c r="AH43" s="271"/>
    </row>
    <row r="44" spans="1:34" ht="15" customHeight="1" x14ac:dyDescent="0.2">
      <c r="A44" s="272"/>
      <c r="B44" s="245" t="s">
        <v>258</v>
      </c>
      <c r="C44" s="273" t="s">
        <v>24</v>
      </c>
      <c r="D44" s="273" t="s">
        <v>254</v>
      </c>
      <c r="E44" s="273" t="s">
        <v>25</v>
      </c>
      <c r="F44" s="273" t="s">
        <v>11</v>
      </c>
      <c r="G44" s="273" t="s">
        <v>12</v>
      </c>
      <c r="H44" s="273" t="s">
        <v>27</v>
      </c>
      <c r="I44" s="273" t="s">
        <v>28</v>
      </c>
      <c r="J44" s="273" t="s">
        <v>29</v>
      </c>
      <c r="K44" s="273" t="s">
        <v>30</v>
      </c>
      <c r="L44" s="273" t="s">
        <v>31</v>
      </c>
      <c r="M44" s="273" t="s">
        <v>32</v>
      </c>
      <c r="N44" s="273" t="s">
        <v>33</v>
      </c>
      <c r="O44" s="273" t="s">
        <v>34</v>
      </c>
      <c r="P44" s="273" t="s">
        <v>40</v>
      </c>
      <c r="Q44" s="273" t="s">
        <v>36</v>
      </c>
      <c r="R44" s="273" t="s">
        <v>37</v>
      </c>
      <c r="S44" s="273" t="s">
        <v>45</v>
      </c>
      <c r="T44" s="273" t="s">
        <v>42</v>
      </c>
      <c r="U44" s="273" t="s">
        <v>46</v>
      </c>
      <c r="V44" s="273" t="s">
        <v>47</v>
      </c>
      <c r="W44" s="273" t="s">
        <v>50</v>
      </c>
      <c r="X44" s="273" t="s">
        <v>54</v>
      </c>
      <c r="Y44" s="273" t="s">
        <v>55</v>
      </c>
      <c r="Z44" s="273" t="s">
        <v>246</v>
      </c>
      <c r="AA44" s="273" t="s">
        <v>58</v>
      </c>
      <c r="AB44" s="273" t="s">
        <v>255</v>
      </c>
      <c r="AC44" s="273" t="s">
        <v>248</v>
      </c>
      <c r="AD44" s="273" t="s">
        <v>249</v>
      </c>
      <c r="AE44" s="273" t="s">
        <v>259</v>
      </c>
      <c r="AF44" s="273" t="s">
        <v>257</v>
      </c>
      <c r="AG44" s="273" t="s">
        <v>260</v>
      </c>
      <c r="AH44" s="273" t="s">
        <v>261</v>
      </c>
    </row>
    <row r="45" spans="1:34" ht="15" customHeight="1" x14ac:dyDescent="0.35">
      <c r="A45" s="274"/>
      <c r="B45" s="256" t="s">
        <v>250</v>
      </c>
      <c r="C45" s="275">
        <f t="shared" ref="C45:AH45" si="19">((2^(1/12))^(C2+7-49))*440</f>
        <v>293.66476791740752</v>
      </c>
      <c r="D45" s="275">
        <f t="shared" si="19"/>
        <v>311.12698372208087</v>
      </c>
      <c r="E45" s="275">
        <f t="shared" si="19"/>
        <v>329.62755691286992</v>
      </c>
      <c r="F45" s="275">
        <f t="shared" si="19"/>
        <v>349.22823143300388</v>
      </c>
      <c r="G45" s="275">
        <f t="shared" si="19"/>
        <v>369.99442271163434</v>
      </c>
      <c r="H45" s="275">
        <f t="shared" si="19"/>
        <v>391.99543598174927</v>
      </c>
      <c r="I45" s="275">
        <f t="shared" si="19"/>
        <v>415.30469757994513</v>
      </c>
      <c r="J45" s="275">
        <f t="shared" si="19"/>
        <v>440</v>
      </c>
      <c r="K45" s="275">
        <f t="shared" si="19"/>
        <v>466.16376151808993</v>
      </c>
      <c r="L45" s="275">
        <f t="shared" si="19"/>
        <v>493.88330125612413</v>
      </c>
      <c r="M45" s="275">
        <f t="shared" si="19"/>
        <v>523.25113060119736</v>
      </c>
      <c r="N45" s="275">
        <f t="shared" si="19"/>
        <v>554.36526195374415</v>
      </c>
      <c r="O45" s="275">
        <f t="shared" si="19"/>
        <v>587.32953583481515</v>
      </c>
      <c r="P45" s="275">
        <f t="shared" si="19"/>
        <v>622.25396744416184</v>
      </c>
      <c r="Q45" s="275">
        <f t="shared" si="19"/>
        <v>659.25511382573995</v>
      </c>
      <c r="R45" s="275">
        <f t="shared" si="19"/>
        <v>698.45646286600777</v>
      </c>
      <c r="S45" s="275">
        <f t="shared" si="19"/>
        <v>739.98884542326891</v>
      </c>
      <c r="T45" s="275">
        <f t="shared" si="19"/>
        <v>783.99087196349865</v>
      </c>
      <c r="U45" s="275">
        <f t="shared" si="19"/>
        <v>830.60939515989048</v>
      </c>
      <c r="V45" s="275">
        <f t="shared" si="19"/>
        <v>880</v>
      </c>
      <c r="W45" s="275">
        <f t="shared" si="19"/>
        <v>932.32752303617985</v>
      </c>
      <c r="X45" s="275">
        <f t="shared" si="19"/>
        <v>987.76660251224848</v>
      </c>
      <c r="Y45" s="275">
        <f t="shared" si="19"/>
        <v>1046.5022612023947</v>
      </c>
      <c r="Z45" s="275">
        <f t="shared" si="19"/>
        <v>1108.7305239074885</v>
      </c>
      <c r="AA45" s="275">
        <f t="shared" si="19"/>
        <v>1174.6590716696305</v>
      </c>
      <c r="AB45" s="275">
        <f t="shared" si="19"/>
        <v>1244.5079348883239</v>
      </c>
      <c r="AC45" s="275">
        <f t="shared" si="19"/>
        <v>1318.5102276514801</v>
      </c>
      <c r="AD45" s="275">
        <f t="shared" si="19"/>
        <v>1396.9129257320158</v>
      </c>
      <c r="AE45" s="275">
        <f t="shared" si="19"/>
        <v>1479.9776908465378</v>
      </c>
      <c r="AF45" s="275">
        <f t="shared" si="19"/>
        <v>1567.9817439269975</v>
      </c>
      <c r="AG45" s="275">
        <f t="shared" si="19"/>
        <v>1661.2187903197812</v>
      </c>
      <c r="AH45" s="275">
        <f t="shared" si="19"/>
        <v>1760.0000000000005</v>
      </c>
    </row>
    <row r="46" spans="1:34" ht="15" customHeight="1" x14ac:dyDescent="0.35">
      <c r="A46" s="276" t="s">
        <v>139</v>
      </c>
      <c r="B46" s="262" t="s">
        <v>251</v>
      </c>
      <c r="C46" s="277">
        <v>0.5</v>
      </c>
      <c r="D46" s="277">
        <v>0.5</v>
      </c>
      <c r="E46" s="277">
        <v>0.5</v>
      </c>
      <c r="F46" s="277">
        <v>0.5</v>
      </c>
      <c r="G46" s="277">
        <v>0.5</v>
      </c>
      <c r="H46" s="277">
        <v>0.5</v>
      </c>
      <c r="I46" s="277">
        <v>0.48</v>
      </c>
      <c r="J46" s="277">
        <v>0.48</v>
      </c>
      <c r="K46" s="277">
        <v>0.48</v>
      </c>
      <c r="L46" s="277">
        <v>0.46</v>
      </c>
      <c r="M46" s="277">
        <v>0.46</v>
      </c>
      <c r="N46" s="277">
        <v>0.46</v>
      </c>
      <c r="O46" s="277">
        <v>0.46</v>
      </c>
      <c r="P46" s="277">
        <v>0.46</v>
      </c>
      <c r="Q46" s="277">
        <v>0.46</v>
      </c>
      <c r="R46" s="277">
        <v>0.38</v>
      </c>
      <c r="S46" s="277">
        <v>0.38</v>
      </c>
      <c r="T46" s="277">
        <v>0.38</v>
      </c>
      <c r="U46" s="277">
        <v>0.38</v>
      </c>
      <c r="V46" s="277">
        <v>0.38</v>
      </c>
      <c r="W46" s="277">
        <v>0.38</v>
      </c>
      <c r="X46" s="277">
        <v>0.38</v>
      </c>
      <c r="Y46" s="277">
        <v>0.32</v>
      </c>
      <c r="Z46" s="277">
        <v>0.32</v>
      </c>
      <c r="AA46" s="277">
        <v>0.32</v>
      </c>
      <c r="AB46" s="277">
        <v>0.32</v>
      </c>
      <c r="AC46" s="278"/>
      <c r="AD46" s="278"/>
      <c r="AE46" s="278"/>
      <c r="AF46" s="278"/>
      <c r="AG46" s="278"/>
      <c r="AH46" s="278"/>
    </row>
    <row r="47" spans="1:34" ht="15" customHeight="1" x14ac:dyDescent="0.35">
      <c r="A47" s="276" t="s">
        <v>142</v>
      </c>
      <c r="B47" s="262" t="s">
        <v>252</v>
      </c>
      <c r="C47" s="277">
        <v>14.347</v>
      </c>
      <c r="D47" s="277">
        <v>13.657</v>
      </c>
      <c r="E47" s="277">
        <v>12.37</v>
      </c>
      <c r="F47" s="277">
        <v>11.759</v>
      </c>
      <c r="G47" s="277">
        <v>10.826000000000001</v>
      </c>
      <c r="H47" s="277">
        <v>10.284000000000001</v>
      </c>
      <c r="I47" s="277">
        <v>9.5269999999999992</v>
      </c>
      <c r="J47" s="277">
        <v>9.0459999999999994</v>
      </c>
      <c r="K47" s="277">
        <v>8.5890000000000004</v>
      </c>
      <c r="L47" s="277">
        <v>7.8209999999999997</v>
      </c>
      <c r="M47" s="277">
        <v>7.4180000000000001</v>
      </c>
      <c r="N47" s="277">
        <v>7.0380000000000003</v>
      </c>
      <c r="O47" s="277">
        <v>6.4390000000000001</v>
      </c>
      <c r="P47" s="277">
        <v>6.1020000000000003</v>
      </c>
      <c r="Q47" s="277">
        <v>5.7839999999999998</v>
      </c>
      <c r="R47" s="277">
        <v>5.4359999999999999</v>
      </c>
      <c r="S47" s="277">
        <v>5.1509999999999998</v>
      </c>
      <c r="T47" s="277">
        <v>4.8819999999999997</v>
      </c>
      <c r="U47" s="277">
        <v>4.6280000000000001</v>
      </c>
      <c r="V47" s="277">
        <v>4.133</v>
      </c>
      <c r="W47" s="277">
        <v>3.911</v>
      </c>
      <c r="X47" s="277">
        <v>3.7</v>
      </c>
      <c r="Y47" s="277">
        <v>3.5009999999999999</v>
      </c>
      <c r="Z47" s="277">
        <v>3.3140000000000001</v>
      </c>
      <c r="AA47" s="277">
        <v>3.1360000000000001</v>
      </c>
      <c r="AB47" s="277">
        <v>2.8769999999999998</v>
      </c>
      <c r="AC47" s="278"/>
      <c r="AD47" s="278"/>
      <c r="AE47" s="278"/>
      <c r="AF47" s="278"/>
      <c r="AG47" s="278"/>
      <c r="AH47" s="278"/>
    </row>
    <row r="48" spans="1:34" ht="15" customHeight="1" x14ac:dyDescent="0.2">
      <c r="A48" s="279"/>
      <c r="B48" s="245" t="s">
        <v>262</v>
      </c>
      <c r="C48" s="280" t="s">
        <v>254</v>
      </c>
      <c r="D48" s="280" t="s">
        <v>25</v>
      </c>
      <c r="E48" s="280" t="s">
        <v>11</v>
      </c>
      <c r="F48" s="280" t="s">
        <v>26</v>
      </c>
      <c r="G48" s="280" t="s">
        <v>27</v>
      </c>
      <c r="H48" s="280" t="s">
        <v>28</v>
      </c>
      <c r="I48" s="280" t="s">
        <v>29</v>
      </c>
      <c r="J48" s="280" t="s">
        <v>30</v>
      </c>
      <c r="K48" s="280" t="s">
        <v>31</v>
      </c>
      <c r="L48" s="280" t="s">
        <v>32</v>
      </c>
      <c r="M48" s="280" t="s">
        <v>33</v>
      </c>
      <c r="N48" s="280" t="s">
        <v>34</v>
      </c>
      <c r="O48" s="280" t="s">
        <v>40</v>
      </c>
      <c r="P48" s="280" t="s">
        <v>36</v>
      </c>
      <c r="Q48" s="280" t="s">
        <v>37</v>
      </c>
      <c r="R48" s="280" t="s">
        <v>41</v>
      </c>
      <c r="S48" s="280" t="s">
        <v>42</v>
      </c>
      <c r="T48" s="280" t="s">
        <v>46</v>
      </c>
      <c r="U48" s="280" t="s">
        <v>47</v>
      </c>
      <c r="V48" s="280" t="s">
        <v>50</v>
      </c>
      <c r="W48" s="280" t="s">
        <v>54</v>
      </c>
      <c r="X48" s="280" t="s">
        <v>55</v>
      </c>
      <c r="Y48" s="280" t="s">
        <v>246</v>
      </c>
      <c r="Z48" s="280" t="s">
        <v>58</v>
      </c>
      <c r="AA48" s="280" t="s">
        <v>255</v>
      </c>
      <c r="AB48" s="280" t="s">
        <v>248</v>
      </c>
      <c r="AC48" s="280" t="s">
        <v>249</v>
      </c>
      <c r="AD48" s="280" t="s">
        <v>256</v>
      </c>
      <c r="AE48" s="280" t="s">
        <v>257</v>
      </c>
      <c r="AF48" s="280" t="s">
        <v>260</v>
      </c>
      <c r="AG48" s="280" t="s">
        <v>261</v>
      </c>
      <c r="AH48" s="280" t="s">
        <v>263</v>
      </c>
    </row>
    <row r="49" spans="1:34" ht="15" customHeight="1" x14ac:dyDescent="0.2">
      <c r="A49" s="279"/>
      <c r="B49" s="245" t="s">
        <v>250</v>
      </c>
      <c r="C49" s="281">
        <f t="shared" ref="C49:AH49" si="20">((2^(1/12))^(C2+8-49))*440</f>
        <v>311.12698372208087</v>
      </c>
      <c r="D49" s="281">
        <f t="shared" si="20"/>
        <v>329.62755691286992</v>
      </c>
      <c r="E49" s="281">
        <f t="shared" si="20"/>
        <v>349.22823143300388</v>
      </c>
      <c r="F49" s="281">
        <f t="shared" si="20"/>
        <v>369.99442271163434</v>
      </c>
      <c r="G49" s="281">
        <f t="shared" si="20"/>
        <v>391.99543598174927</v>
      </c>
      <c r="H49" s="281">
        <f t="shared" si="20"/>
        <v>415.30469757994513</v>
      </c>
      <c r="I49" s="281">
        <f t="shared" si="20"/>
        <v>440</v>
      </c>
      <c r="J49" s="281">
        <f t="shared" si="20"/>
        <v>466.16376151808993</v>
      </c>
      <c r="K49" s="281">
        <f t="shared" si="20"/>
        <v>493.88330125612413</v>
      </c>
      <c r="L49" s="281">
        <f t="shared" si="20"/>
        <v>523.25113060119736</v>
      </c>
      <c r="M49" s="281">
        <f t="shared" si="20"/>
        <v>554.36526195374415</v>
      </c>
      <c r="N49" s="281">
        <f t="shared" si="20"/>
        <v>587.32953583481515</v>
      </c>
      <c r="O49" s="281">
        <f t="shared" si="20"/>
        <v>622.25396744416184</v>
      </c>
      <c r="P49" s="281">
        <f t="shared" si="20"/>
        <v>659.25511382573995</v>
      </c>
      <c r="Q49" s="281">
        <f t="shared" si="20"/>
        <v>698.45646286600777</v>
      </c>
      <c r="R49" s="281">
        <f t="shared" si="20"/>
        <v>739.98884542326891</v>
      </c>
      <c r="S49" s="281">
        <f t="shared" si="20"/>
        <v>783.99087196349865</v>
      </c>
      <c r="T49" s="281">
        <f t="shared" si="20"/>
        <v>830.60939515989048</v>
      </c>
      <c r="U49" s="281">
        <f t="shared" si="20"/>
        <v>880</v>
      </c>
      <c r="V49" s="281">
        <f t="shared" si="20"/>
        <v>932.32752303617985</v>
      </c>
      <c r="W49" s="281">
        <f t="shared" si="20"/>
        <v>987.76660251224848</v>
      </c>
      <c r="X49" s="281">
        <f t="shared" si="20"/>
        <v>1046.5022612023947</v>
      </c>
      <c r="Y49" s="281">
        <f t="shared" si="20"/>
        <v>1108.7305239074885</v>
      </c>
      <c r="Z49" s="281">
        <f t="shared" si="20"/>
        <v>1174.6590716696305</v>
      </c>
      <c r="AA49" s="281">
        <f t="shared" si="20"/>
        <v>1244.5079348883239</v>
      </c>
      <c r="AB49" s="281">
        <f t="shared" si="20"/>
        <v>1318.5102276514801</v>
      </c>
      <c r="AC49" s="281">
        <f t="shared" si="20"/>
        <v>1396.9129257320158</v>
      </c>
      <c r="AD49" s="281">
        <f t="shared" si="20"/>
        <v>1479.9776908465378</v>
      </c>
      <c r="AE49" s="281">
        <f t="shared" si="20"/>
        <v>1567.9817439269975</v>
      </c>
      <c r="AF49" s="281">
        <f t="shared" si="20"/>
        <v>1661.2187903197812</v>
      </c>
      <c r="AG49" s="281">
        <f t="shared" si="20"/>
        <v>1760.0000000000005</v>
      </c>
      <c r="AH49" s="281">
        <f t="shared" si="20"/>
        <v>1864.6550460723602</v>
      </c>
    </row>
    <row r="50" spans="1:34" ht="15" customHeight="1" x14ac:dyDescent="0.2">
      <c r="A50" s="282" t="s">
        <v>144</v>
      </c>
      <c r="B50" s="262" t="s">
        <v>251</v>
      </c>
      <c r="C50" s="283">
        <v>0.35</v>
      </c>
      <c r="D50" s="283">
        <v>0.35</v>
      </c>
      <c r="E50" s="283">
        <v>0.35</v>
      </c>
      <c r="F50" s="283">
        <v>0.35</v>
      </c>
      <c r="G50" s="283">
        <v>0.35</v>
      </c>
      <c r="H50" s="283">
        <v>0.35</v>
      </c>
      <c r="I50" s="283">
        <v>0.32</v>
      </c>
      <c r="J50" s="283">
        <v>0.32</v>
      </c>
      <c r="K50" s="283">
        <v>0.32</v>
      </c>
      <c r="L50" s="283">
        <v>0.32</v>
      </c>
      <c r="M50" s="283">
        <v>0.32</v>
      </c>
      <c r="N50" s="283">
        <v>0.32</v>
      </c>
      <c r="O50" s="283">
        <v>0.32</v>
      </c>
      <c r="P50" s="283">
        <v>0.32</v>
      </c>
      <c r="Q50" s="283">
        <v>0.32</v>
      </c>
      <c r="R50" s="283">
        <v>0.3</v>
      </c>
      <c r="S50" s="283">
        <v>0.3</v>
      </c>
      <c r="T50" s="283">
        <v>0.3</v>
      </c>
      <c r="U50" s="283">
        <v>0.3</v>
      </c>
      <c r="V50" s="283">
        <v>0.3</v>
      </c>
      <c r="W50" s="283">
        <v>0.3</v>
      </c>
      <c r="X50" s="283">
        <v>0.3</v>
      </c>
      <c r="Y50" s="283">
        <v>0.27</v>
      </c>
      <c r="Z50" s="283">
        <v>0.27</v>
      </c>
      <c r="AA50" s="283">
        <v>0.27</v>
      </c>
      <c r="AB50" s="283">
        <v>0.27</v>
      </c>
      <c r="AC50" s="283"/>
      <c r="AD50" s="283"/>
      <c r="AE50" s="283"/>
      <c r="AF50" s="283"/>
      <c r="AG50" s="283"/>
      <c r="AH50" s="283"/>
    </row>
    <row r="51" spans="1:34" ht="15" customHeight="1" x14ac:dyDescent="0.2">
      <c r="A51" s="282" t="s">
        <v>146</v>
      </c>
      <c r="B51" s="262" t="s">
        <v>252</v>
      </c>
      <c r="C51" s="283">
        <v>17.670999999999999</v>
      </c>
      <c r="D51" s="283">
        <v>16.878</v>
      </c>
      <c r="E51" s="283">
        <v>15.021000000000001</v>
      </c>
      <c r="F51" s="283">
        <v>14.323</v>
      </c>
      <c r="G51" s="283">
        <v>13.077999999999999</v>
      </c>
      <c r="H51" s="283">
        <v>12.459</v>
      </c>
      <c r="I51" s="283">
        <v>11.629</v>
      </c>
      <c r="J51" s="283">
        <v>11.077</v>
      </c>
      <c r="K51" s="283">
        <v>10.554</v>
      </c>
      <c r="L51" s="283">
        <v>9.3350000000000009</v>
      </c>
      <c r="M51" s="283">
        <v>8.8780000000000001</v>
      </c>
      <c r="N51" s="283">
        <v>8.4459999999999997</v>
      </c>
      <c r="O51" s="283">
        <v>7.6420000000000003</v>
      </c>
      <c r="P51" s="283">
        <v>7.2610000000000001</v>
      </c>
      <c r="Q51" s="283">
        <v>6.899</v>
      </c>
      <c r="R51" s="283">
        <v>6.3079999999999998</v>
      </c>
      <c r="S51" s="283">
        <v>5.9889999999999999</v>
      </c>
      <c r="T51" s="283">
        <v>5.6870000000000003</v>
      </c>
      <c r="U51" s="283">
        <v>5.4</v>
      </c>
      <c r="V51" s="283">
        <v>4.742</v>
      </c>
      <c r="W51" s="283">
        <v>4.4930000000000003</v>
      </c>
      <c r="X51" s="283">
        <v>4.2569999999999997</v>
      </c>
      <c r="Y51" s="283">
        <v>3.99</v>
      </c>
      <c r="Z51" s="283">
        <v>3.78</v>
      </c>
      <c r="AA51" s="283">
        <v>3.5819999999999999</v>
      </c>
      <c r="AB51" s="283">
        <v>3.2690000000000001</v>
      </c>
      <c r="AC51" s="283"/>
      <c r="AD51" s="283"/>
      <c r="AE51" s="283"/>
      <c r="AF51" s="283"/>
      <c r="AG51" s="283"/>
      <c r="AH51" s="283"/>
    </row>
    <row r="52" spans="1:34" ht="15" customHeight="1" x14ac:dyDescent="0.2">
      <c r="A52" s="284"/>
      <c r="B52" s="245" t="s">
        <v>264</v>
      </c>
      <c r="C52" s="285" t="s">
        <v>11</v>
      </c>
      <c r="D52" s="285" t="s">
        <v>26</v>
      </c>
      <c r="E52" s="285" t="s">
        <v>27</v>
      </c>
      <c r="F52" s="285" t="s">
        <v>28</v>
      </c>
      <c r="G52" s="285" t="s">
        <v>29</v>
      </c>
      <c r="H52" s="285" t="s">
        <v>16</v>
      </c>
      <c r="I52" s="285" t="s">
        <v>31</v>
      </c>
      <c r="J52" s="285" t="s">
        <v>32</v>
      </c>
      <c r="K52" s="285" t="s">
        <v>33</v>
      </c>
      <c r="L52" s="285" t="s">
        <v>34</v>
      </c>
      <c r="M52" s="285" t="s">
        <v>40</v>
      </c>
      <c r="N52" s="285" t="s">
        <v>36</v>
      </c>
      <c r="O52" s="285" t="s">
        <v>37</v>
      </c>
      <c r="P52" s="285" t="s">
        <v>41</v>
      </c>
      <c r="Q52" s="285" t="s">
        <v>42</v>
      </c>
      <c r="R52" s="285" t="s">
        <v>46</v>
      </c>
      <c r="S52" s="285" t="s">
        <v>47</v>
      </c>
      <c r="T52" s="285" t="s">
        <v>53</v>
      </c>
      <c r="U52" s="285" t="s">
        <v>54</v>
      </c>
      <c r="V52" s="285" t="s">
        <v>55</v>
      </c>
      <c r="W52" s="285" t="s">
        <v>246</v>
      </c>
      <c r="X52" s="285" t="s">
        <v>58</v>
      </c>
      <c r="Y52" s="285" t="s">
        <v>255</v>
      </c>
      <c r="Z52" s="285" t="s">
        <v>248</v>
      </c>
      <c r="AA52" s="285" t="s">
        <v>249</v>
      </c>
      <c r="AB52" s="285" t="s">
        <v>256</v>
      </c>
      <c r="AC52" s="285" t="s">
        <v>257</v>
      </c>
      <c r="AD52" s="285" t="s">
        <v>260</v>
      </c>
      <c r="AE52" s="285" t="s">
        <v>261</v>
      </c>
      <c r="AF52" s="285" t="s">
        <v>265</v>
      </c>
      <c r="AG52" s="285" t="s">
        <v>266</v>
      </c>
      <c r="AH52" s="285" t="s">
        <v>267</v>
      </c>
    </row>
    <row r="53" spans="1:34" ht="15" customHeight="1" x14ac:dyDescent="0.35">
      <c r="A53" s="286"/>
      <c r="B53" s="256" t="s">
        <v>250</v>
      </c>
      <c r="C53" s="287">
        <f t="shared" ref="C53:AH53" si="21">((2^(1/12))^(C2+10-49))*440</f>
        <v>349.22823143300388</v>
      </c>
      <c r="D53" s="287">
        <f t="shared" si="21"/>
        <v>369.99442271163434</v>
      </c>
      <c r="E53" s="287">
        <f t="shared" si="21"/>
        <v>391.99543598174927</v>
      </c>
      <c r="F53" s="287">
        <f t="shared" si="21"/>
        <v>415.30469757994513</v>
      </c>
      <c r="G53" s="287">
        <f t="shared" si="21"/>
        <v>440</v>
      </c>
      <c r="H53" s="287">
        <f t="shared" si="21"/>
        <v>466.16376151808993</v>
      </c>
      <c r="I53" s="287">
        <f t="shared" si="21"/>
        <v>493.88330125612413</v>
      </c>
      <c r="J53" s="287">
        <f t="shared" si="21"/>
        <v>523.25113060119736</v>
      </c>
      <c r="K53" s="287">
        <f t="shared" si="21"/>
        <v>554.36526195374415</v>
      </c>
      <c r="L53" s="287">
        <f t="shared" si="21"/>
        <v>587.32953583481515</v>
      </c>
      <c r="M53" s="287">
        <f t="shared" si="21"/>
        <v>622.25396744416184</v>
      </c>
      <c r="N53" s="287">
        <f t="shared" si="21"/>
        <v>659.25511382573995</v>
      </c>
      <c r="O53" s="287">
        <f t="shared" si="21"/>
        <v>698.45646286600777</v>
      </c>
      <c r="P53" s="287">
        <f t="shared" si="21"/>
        <v>739.98884542326891</v>
      </c>
      <c r="Q53" s="287">
        <f t="shared" si="21"/>
        <v>783.99087196349865</v>
      </c>
      <c r="R53" s="287">
        <f t="shared" si="21"/>
        <v>830.60939515989048</v>
      </c>
      <c r="S53" s="287">
        <f t="shared" si="21"/>
        <v>880</v>
      </c>
      <c r="T53" s="287">
        <f t="shared" si="21"/>
        <v>932.32752303617985</v>
      </c>
      <c r="U53" s="287">
        <f t="shared" si="21"/>
        <v>987.76660251224848</v>
      </c>
      <c r="V53" s="287">
        <f t="shared" si="21"/>
        <v>1046.5022612023947</v>
      </c>
      <c r="W53" s="287">
        <f t="shared" si="21"/>
        <v>1108.7305239074885</v>
      </c>
      <c r="X53" s="287">
        <f t="shared" si="21"/>
        <v>1174.6590716696305</v>
      </c>
      <c r="Y53" s="287">
        <f t="shared" si="21"/>
        <v>1244.5079348883239</v>
      </c>
      <c r="Z53" s="287">
        <f t="shared" si="21"/>
        <v>1318.5102276514801</v>
      </c>
      <c r="AA53" s="287">
        <f t="shared" si="21"/>
        <v>1396.9129257320158</v>
      </c>
      <c r="AB53" s="287">
        <f t="shared" si="21"/>
        <v>1479.9776908465378</v>
      </c>
      <c r="AC53" s="287">
        <f t="shared" si="21"/>
        <v>1567.9817439269975</v>
      </c>
      <c r="AD53" s="287">
        <f t="shared" si="21"/>
        <v>1661.2187903197812</v>
      </c>
      <c r="AE53" s="287">
        <f t="shared" si="21"/>
        <v>1760.0000000000005</v>
      </c>
      <c r="AF53" s="287">
        <f t="shared" si="21"/>
        <v>1864.6550460723602</v>
      </c>
      <c r="AG53" s="287">
        <f t="shared" si="21"/>
        <v>1975.533205024497</v>
      </c>
      <c r="AH53" s="287">
        <f t="shared" si="21"/>
        <v>2093.0045224047904</v>
      </c>
    </row>
    <row r="54" spans="1:34" ht="15" customHeight="1" x14ac:dyDescent="0.35">
      <c r="A54" s="288" t="s">
        <v>148</v>
      </c>
      <c r="B54" s="262" t="s">
        <v>251</v>
      </c>
      <c r="C54" s="289">
        <v>0.375</v>
      </c>
      <c r="D54" s="289">
        <v>0.375</v>
      </c>
      <c r="E54" s="289">
        <v>0.375</v>
      </c>
      <c r="F54" s="289">
        <v>0.375</v>
      </c>
      <c r="G54" s="289">
        <v>0.375</v>
      </c>
      <c r="H54" s="289">
        <v>0.375</v>
      </c>
      <c r="I54" s="289">
        <v>0.35</v>
      </c>
      <c r="J54" s="289">
        <v>0.35</v>
      </c>
      <c r="K54" s="289">
        <v>0.35</v>
      </c>
      <c r="L54" s="289">
        <v>0.35</v>
      </c>
      <c r="M54" s="289">
        <v>0.35</v>
      </c>
      <c r="N54" s="289">
        <v>0.35</v>
      </c>
      <c r="O54" s="289">
        <v>0.35</v>
      </c>
      <c r="P54" s="289">
        <v>0.35</v>
      </c>
      <c r="Q54" s="289">
        <v>0.35</v>
      </c>
      <c r="R54" s="289">
        <v>0.32</v>
      </c>
      <c r="S54" s="289">
        <v>0.32</v>
      </c>
      <c r="T54" s="289">
        <v>0.32</v>
      </c>
      <c r="U54" s="289">
        <v>0.32</v>
      </c>
      <c r="V54" s="289">
        <v>0.32</v>
      </c>
      <c r="W54" s="289">
        <v>0.32</v>
      </c>
      <c r="X54" s="289">
        <v>0.32</v>
      </c>
      <c r="Y54" s="289">
        <v>0.3</v>
      </c>
      <c r="Z54" s="289">
        <v>0.3</v>
      </c>
      <c r="AA54" s="289">
        <v>0.3</v>
      </c>
      <c r="AB54" s="289">
        <v>0.3</v>
      </c>
      <c r="AC54" s="290"/>
      <c r="AD54" s="290"/>
      <c r="AE54" s="290"/>
      <c r="AF54" s="290"/>
      <c r="AG54" s="290"/>
      <c r="AH54" s="290"/>
    </row>
    <row r="55" spans="1:34" ht="15" customHeight="1" x14ac:dyDescent="0.35">
      <c r="A55" s="288" t="s">
        <v>268</v>
      </c>
      <c r="B55" s="262" t="s">
        <v>252</v>
      </c>
      <c r="C55" s="289">
        <v>19.515999999999998</v>
      </c>
      <c r="D55" s="289">
        <v>18.568999999999999</v>
      </c>
      <c r="E55" s="289">
        <v>16.745999999999999</v>
      </c>
      <c r="F55" s="289">
        <v>15.933999999999999</v>
      </c>
      <c r="G55" s="289">
        <v>14.641</v>
      </c>
      <c r="H55" s="289">
        <v>13.92</v>
      </c>
      <c r="I55" s="289">
        <v>12.959</v>
      </c>
      <c r="J55" s="289">
        <v>12.318</v>
      </c>
      <c r="K55" s="289">
        <v>11.71</v>
      </c>
      <c r="L55" s="289">
        <v>10.512</v>
      </c>
      <c r="M55" s="289">
        <v>9.9789999999999992</v>
      </c>
      <c r="N55" s="289">
        <v>9.4749999999999996</v>
      </c>
      <c r="O55" s="289">
        <v>8.6489999999999991</v>
      </c>
      <c r="P55" s="289">
        <v>8.2029999999999994</v>
      </c>
      <c r="Q55" s="289">
        <v>7.7809999999999997</v>
      </c>
      <c r="R55" s="289">
        <v>7.19</v>
      </c>
      <c r="S55" s="289">
        <v>6.8159999999999998</v>
      </c>
      <c r="T55" s="289">
        <v>6.4619999999999997</v>
      </c>
      <c r="U55" s="289">
        <v>6.1260000000000003</v>
      </c>
      <c r="V55" s="289">
        <v>5.4649999999999999</v>
      </c>
      <c r="W55" s="289">
        <v>5.1719999999999997</v>
      </c>
      <c r="X55" s="289">
        <v>4.8949999999999996</v>
      </c>
      <c r="Y55" s="289">
        <v>4.57</v>
      </c>
      <c r="Z55" s="289">
        <v>4.3230000000000004</v>
      </c>
      <c r="AA55" s="289">
        <v>4.09</v>
      </c>
      <c r="AB55" s="289">
        <v>3.7549999999999999</v>
      </c>
      <c r="AC55" s="290"/>
      <c r="AD55" s="290"/>
      <c r="AE55" s="290"/>
      <c r="AF55" s="290"/>
      <c r="AG55" s="290"/>
      <c r="AH55" s="290"/>
    </row>
    <row r="56" spans="1:34" ht="15" customHeight="1" x14ac:dyDescent="0.2">
      <c r="A56" s="291"/>
      <c r="B56" s="245" t="s">
        <v>269</v>
      </c>
      <c r="C56" s="292" t="s">
        <v>27</v>
      </c>
      <c r="D56" s="292" t="s">
        <v>28</v>
      </c>
      <c r="E56" s="292" t="s">
        <v>29</v>
      </c>
      <c r="F56" s="292" t="s">
        <v>30</v>
      </c>
      <c r="G56" s="292" t="s">
        <v>31</v>
      </c>
      <c r="H56" s="292" t="s">
        <v>32</v>
      </c>
      <c r="I56" s="292" t="s">
        <v>33</v>
      </c>
      <c r="J56" s="292" t="s">
        <v>34</v>
      </c>
      <c r="K56" s="292" t="s">
        <v>40</v>
      </c>
      <c r="L56" s="292" t="s">
        <v>36</v>
      </c>
      <c r="M56" s="292" t="s">
        <v>37</v>
      </c>
      <c r="N56" s="292" t="s">
        <v>41</v>
      </c>
      <c r="O56" s="292" t="s">
        <v>42</v>
      </c>
      <c r="P56" s="292" t="s">
        <v>46</v>
      </c>
      <c r="Q56" s="292" t="s">
        <v>47</v>
      </c>
      <c r="R56" s="292" t="s">
        <v>50</v>
      </c>
      <c r="S56" s="292" t="s">
        <v>54</v>
      </c>
      <c r="T56" s="292" t="s">
        <v>55</v>
      </c>
      <c r="U56" s="292" t="s">
        <v>33</v>
      </c>
      <c r="V56" s="292" t="s">
        <v>58</v>
      </c>
      <c r="W56" s="292" t="s">
        <v>255</v>
      </c>
      <c r="X56" s="292" t="s">
        <v>248</v>
      </c>
      <c r="Y56" s="292" t="s">
        <v>249</v>
      </c>
      <c r="Z56" s="292" t="s">
        <v>256</v>
      </c>
      <c r="AA56" s="292" t="s">
        <v>257</v>
      </c>
      <c r="AB56" s="292" t="s">
        <v>260</v>
      </c>
      <c r="AC56" s="292" t="s">
        <v>261</v>
      </c>
      <c r="AD56" s="292" t="s">
        <v>263</v>
      </c>
      <c r="AE56" s="292" t="s">
        <v>266</v>
      </c>
      <c r="AF56" s="292" t="s">
        <v>267</v>
      </c>
      <c r="AG56" s="292" t="s">
        <v>270</v>
      </c>
      <c r="AH56" s="292" t="s">
        <v>271</v>
      </c>
    </row>
    <row r="57" spans="1:34" ht="15" customHeight="1" x14ac:dyDescent="0.35">
      <c r="A57" s="293"/>
      <c r="B57" s="256" t="s">
        <v>250</v>
      </c>
      <c r="C57" s="294">
        <f t="shared" ref="C57:AH57" si="22">((2^(1/12))^(C2+12-49))*440</f>
        <v>391.99543598174927</v>
      </c>
      <c r="D57" s="294">
        <f t="shared" si="22"/>
        <v>415.30469757994513</v>
      </c>
      <c r="E57" s="294">
        <f t="shared" si="22"/>
        <v>440</v>
      </c>
      <c r="F57" s="294">
        <f t="shared" si="22"/>
        <v>466.16376151808993</v>
      </c>
      <c r="G57" s="294">
        <f t="shared" si="22"/>
        <v>493.88330125612413</v>
      </c>
      <c r="H57" s="294">
        <f t="shared" si="22"/>
        <v>523.25113060119736</v>
      </c>
      <c r="I57" s="294">
        <f t="shared" si="22"/>
        <v>554.36526195374415</v>
      </c>
      <c r="J57" s="294">
        <f t="shared" si="22"/>
        <v>587.32953583481515</v>
      </c>
      <c r="K57" s="294">
        <f t="shared" si="22"/>
        <v>622.25396744416184</v>
      </c>
      <c r="L57" s="294">
        <f t="shared" si="22"/>
        <v>659.25511382573995</v>
      </c>
      <c r="M57" s="294">
        <f t="shared" si="22"/>
        <v>698.45646286600777</v>
      </c>
      <c r="N57" s="294">
        <f t="shared" si="22"/>
        <v>739.98884542326891</v>
      </c>
      <c r="O57" s="294">
        <f t="shared" si="22"/>
        <v>783.99087196349865</v>
      </c>
      <c r="P57" s="294">
        <f t="shared" si="22"/>
        <v>830.60939515989048</v>
      </c>
      <c r="Q57" s="294">
        <f t="shared" si="22"/>
        <v>880</v>
      </c>
      <c r="R57" s="294">
        <f t="shared" si="22"/>
        <v>932.32752303617985</v>
      </c>
      <c r="S57" s="294">
        <f t="shared" si="22"/>
        <v>987.76660251224848</v>
      </c>
      <c r="T57" s="294">
        <f t="shared" si="22"/>
        <v>1046.5022612023947</v>
      </c>
      <c r="U57" s="294">
        <f t="shared" si="22"/>
        <v>1108.7305239074885</v>
      </c>
      <c r="V57" s="294">
        <f t="shared" si="22"/>
        <v>1174.6590716696305</v>
      </c>
      <c r="W57" s="294">
        <f t="shared" si="22"/>
        <v>1244.5079348883239</v>
      </c>
      <c r="X57" s="294">
        <f t="shared" si="22"/>
        <v>1318.5102276514801</v>
      </c>
      <c r="Y57" s="294">
        <f t="shared" si="22"/>
        <v>1396.9129257320158</v>
      </c>
      <c r="Z57" s="294">
        <f t="shared" si="22"/>
        <v>1479.9776908465378</v>
      </c>
      <c r="AA57" s="294">
        <f t="shared" si="22"/>
        <v>1567.9817439269975</v>
      </c>
      <c r="AB57" s="294">
        <f t="shared" si="22"/>
        <v>1661.2187903197812</v>
      </c>
      <c r="AC57" s="294">
        <f t="shared" si="22"/>
        <v>1760.0000000000005</v>
      </c>
      <c r="AD57" s="294">
        <f t="shared" si="22"/>
        <v>1864.6550460723602</v>
      </c>
      <c r="AE57" s="294">
        <f t="shared" si="22"/>
        <v>1975.533205024497</v>
      </c>
      <c r="AF57" s="294">
        <f t="shared" si="22"/>
        <v>2093.0045224047904</v>
      </c>
      <c r="AG57" s="294">
        <f t="shared" si="22"/>
        <v>2217.4610478149771</v>
      </c>
      <c r="AH57" s="294">
        <f t="shared" si="22"/>
        <v>2349.318143339261</v>
      </c>
    </row>
    <row r="58" spans="1:34" ht="15" customHeight="1" x14ac:dyDescent="0.35">
      <c r="A58" s="295" t="s">
        <v>272</v>
      </c>
      <c r="B58" s="262" t="s">
        <v>251</v>
      </c>
      <c r="C58" s="296">
        <v>0.35</v>
      </c>
      <c r="D58" s="296">
        <v>0.35</v>
      </c>
      <c r="E58" s="296">
        <v>0.35</v>
      </c>
      <c r="F58" s="296">
        <v>0.35</v>
      </c>
      <c r="G58" s="296">
        <v>0.35</v>
      </c>
      <c r="H58" s="296">
        <v>0.35</v>
      </c>
      <c r="I58" s="296">
        <v>0.33</v>
      </c>
      <c r="J58" s="296">
        <v>0.33</v>
      </c>
      <c r="K58" s="296">
        <v>0.33</v>
      </c>
      <c r="L58" s="296">
        <v>0.33</v>
      </c>
      <c r="M58" s="296">
        <v>0.33</v>
      </c>
      <c r="N58" s="296">
        <v>0.33</v>
      </c>
      <c r="O58" s="296">
        <v>0.33</v>
      </c>
      <c r="P58" s="296">
        <v>0.33</v>
      </c>
      <c r="Q58" s="296">
        <v>0.33</v>
      </c>
      <c r="R58" s="296">
        <v>0.3</v>
      </c>
      <c r="S58" s="296">
        <v>0.3</v>
      </c>
      <c r="T58" s="296">
        <v>0.3</v>
      </c>
      <c r="U58" s="296">
        <v>0.3</v>
      </c>
      <c r="V58" s="296">
        <v>0.3</v>
      </c>
      <c r="W58" s="296">
        <v>0.3</v>
      </c>
      <c r="X58" s="296">
        <v>0.3</v>
      </c>
      <c r="Y58" s="296">
        <v>0.27</v>
      </c>
      <c r="Z58" s="296">
        <v>0.27</v>
      </c>
      <c r="AA58" s="296">
        <v>0.27</v>
      </c>
      <c r="AB58" s="296">
        <v>0.27</v>
      </c>
      <c r="AC58" s="297"/>
      <c r="AD58" s="297"/>
      <c r="AE58" s="297"/>
      <c r="AF58" s="297"/>
      <c r="AG58" s="297"/>
      <c r="AH58" s="297"/>
    </row>
    <row r="59" spans="1:34" ht="15" customHeight="1" x14ac:dyDescent="0.35">
      <c r="A59" s="295" t="s">
        <v>273</v>
      </c>
      <c r="B59" s="262" t="s">
        <v>252</v>
      </c>
      <c r="C59" s="296">
        <v>21.364999999999998</v>
      </c>
      <c r="D59" s="296">
        <v>20.327999999999999</v>
      </c>
      <c r="E59" s="296">
        <v>18.408000000000001</v>
      </c>
      <c r="F59" s="296">
        <v>17.491</v>
      </c>
      <c r="G59" s="296">
        <v>16.126999999999999</v>
      </c>
      <c r="H59" s="296">
        <v>15.311999999999999</v>
      </c>
      <c r="I59" s="296">
        <v>14.252000000000001</v>
      </c>
      <c r="J59" s="296">
        <v>13.526999999999999</v>
      </c>
      <c r="K59" s="296">
        <v>12.84</v>
      </c>
      <c r="L59" s="296">
        <v>11.624000000000001</v>
      </c>
      <c r="M59" s="296">
        <v>11.019</v>
      </c>
      <c r="N59" s="296">
        <v>10.448</v>
      </c>
      <c r="O59" s="296">
        <v>9.593</v>
      </c>
      <c r="P59" s="296">
        <v>9.0869999999999997</v>
      </c>
      <c r="Q59" s="296">
        <v>8.6069999999999993</v>
      </c>
      <c r="R59" s="296">
        <v>7.9909999999999997</v>
      </c>
      <c r="S59" s="296">
        <v>7.5650000000000004</v>
      </c>
      <c r="T59" s="296">
        <v>7.1630000000000003</v>
      </c>
      <c r="U59" s="296">
        <v>6.782</v>
      </c>
      <c r="V59" s="296">
        <v>6.1189999999999998</v>
      </c>
      <c r="W59" s="296">
        <v>5.7859999999999996</v>
      </c>
      <c r="X59" s="296">
        <v>5.47</v>
      </c>
      <c r="Y59" s="296">
        <v>5.1369999999999996</v>
      </c>
      <c r="Z59" s="296">
        <v>4.8559999999999999</v>
      </c>
      <c r="AA59" s="296">
        <v>4.59</v>
      </c>
      <c r="AB59" s="296">
        <v>4.2290000000000001</v>
      </c>
      <c r="AC59" s="297"/>
      <c r="AD59" s="297"/>
      <c r="AE59" s="297"/>
      <c r="AF59" s="297"/>
      <c r="AG59" s="297"/>
      <c r="AH59" s="297"/>
    </row>
    <row r="60" spans="1:34" ht="15" customHeight="1" x14ac:dyDescent="0.35">
      <c r="A60" s="298"/>
      <c r="B60" s="298"/>
      <c r="C60" s="299"/>
      <c r="D60" s="299"/>
      <c r="E60" s="299"/>
      <c r="F60" s="299"/>
      <c r="G60" s="299"/>
      <c r="H60" s="299"/>
      <c r="I60" s="299"/>
      <c r="J60" s="299"/>
      <c r="K60" s="299"/>
      <c r="L60" s="299"/>
      <c r="M60" s="299"/>
      <c r="N60" s="299"/>
      <c r="O60" s="299"/>
      <c r="P60" s="299"/>
      <c r="Q60" s="299"/>
      <c r="R60" s="299"/>
      <c r="S60" s="299"/>
      <c r="T60" s="299"/>
      <c r="U60" s="299"/>
      <c r="V60" s="299"/>
      <c r="W60" s="299"/>
      <c r="X60" s="299"/>
      <c r="Y60" s="299"/>
      <c r="Z60" s="299"/>
      <c r="AA60" s="299"/>
      <c r="AB60" s="299"/>
      <c r="AC60" s="300"/>
      <c r="AD60" s="300"/>
      <c r="AE60" s="300"/>
      <c r="AF60" s="300"/>
      <c r="AG60" s="300"/>
      <c r="AH60" s="300"/>
    </row>
    <row r="61" spans="1:34" ht="15" customHeight="1" x14ac:dyDescent="0.35">
      <c r="A61" s="298"/>
      <c r="B61" s="301" t="s">
        <v>274</v>
      </c>
      <c r="C61" s="299"/>
      <c r="D61" s="299"/>
      <c r="E61" s="299"/>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300"/>
      <c r="AD61" s="300"/>
      <c r="AE61" s="300"/>
      <c r="AF61" s="300"/>
      <c r="AG61" s="300"/>
      <c r="AH61" s="300"/>
    </row>
    <row r="62" spans="1:34" ht="15" customHeight="1" x14ac:dyDescent="0.2">
      <c r="A62" s="62"/>
      <c r="B62" s="302" t="s">
        <v>239</v>
      </c>
      <c r="C62" s="170" t="s">
        <v>205</v>
      </c>
      <c r="D62" s="170" t="s">
        <v>206</v>
      </c>
      <c r="E62" s="170" t="s">
        <v>207</v>
      </c>
      <c r="F62" s="170" t="s">
        <v>208</v>
      </c>
      <c r="G62" s="170" t="s">
        <v>209</v>
      </c>
      <c r="H62" s="170" t="s">
        <v>6</v>
      </c>
      <c r="I62" s="170" t="s">
        <v>7</v>
      </c>
      <c r="J62" s="170" t="s">
        <v>8</v>
      </c>
      <c r="K62" s="170" t="s">
        <v>9</v>
      </c>
      <c r="L62" s="170" t="s">
        <v>10</v>
      </c>
      <c r="M62" s="170" t="s">
        <v>240</v>
      </c>
      <c r="N62" s="170" t="s">
        <v>12</v>
      </c>
      <c r="O62" s="170" t="s">
        <v>13</v>
      </c>
      <c r="P62" s="170" t="s">
        <v>14</v>
      </c>
      <c r="Q62" s="170" t="s">
        <v>15</v>
      </c>
      <c r="R62" s="170" t="s">
        <v>16</v>
      </c>
      <c r="S62" s="170" t="s">
        <v>17</v>
      </c>
      <c r="T62" s="170" t="s">
        <v>18</v>
      </c>
      <c r="U62" s="170" t="s">
        <v>19</v>
      </c>
      <c r="V62" s="170" t="s">
        <v>20</v>
      </c>
      <c r="W62" s="170" t="s">
        <v>35</v>
      </c>
      <c r="X62" s="170" t="s">
        <v>210</v>
      </c>
      <c r="Y62" s="170" t="s">
        <v>211</v>
      </c>
      <c r="Z62" s="170" t="s">
        <v>45</v>
      </c>
      <c r="AA62" s="170" t="s">
        <v>212</v>
      </c>
      <c r="AB62" s="170" t="s">
        <v>213</v>
      </c>
      <c r="AC62" s="170" t="s">
        <v>47</v>
      </c>
      <c r="AD62" s="170" t="s">
        <v>50</v>
      </c>
      <c r="AE62" s="170" t="s">
        <v>54</v>
      </c>
      <c r="AF62" s="170" t="s">
        <v>55</v>
      </c>
      <c r="AG62" s="170" t="s">
        <v>214</v>
      </c>
      <c r="AH62" s="170" t="s">
        <v>58</v>
      </c>
    </row>
    <row r="63" spans="1:34" ht="15" customHeight="1" x14ac:dyDescent="0.2">
      <c r="A63" s="63"/>
      <c r="B63" s="303" t="s">
        <v>241</v>
      </c>
      <c r="C63" s="23">
        <f t="shared" ref="C63:AH63" si="23">((2^(1/12))^(C2-49))*440</f>
        <v>195.99771799087461</v>
      </c>
      <c r="D63" s="23">
        <f t="shared" si="23"/>
        <v>207.65234878997256</v>
      </c>
      <c r="E63" s="23">
        <f t="shared" si="23"/>
        <v>220</v>
      </c>
      <c r="F63" s="23">
        <f t="shared" si="23"/>
        <v>233.08188075904491</v>
      </c>
      <c r="G63" s="23">
        <f t="shared" si="23"/>
        <v>246.94165062806201</v>
      </c>
      <c r="H63" s="23">
        <f t="shared" si="23"/>
        <v>261.62556530059862</v>
      </c>
      <c r="I63" s="23">
        <f t="shared" si="23"/>
        <v>277.18263097687208</v>
      </c>
      <c r="J63" s="23">
        <f t="shared" si="23"/>
        <v>293.66476791740752</v>
      </c>
      <c r="K63" s="23">
        <f t="shared" si="23"/>
        <v>311.12698372208087</v>
      </c>
      <c r="L63" s="23">
        <f t="shared" si="23"/>
        <v>329.62755691286992</v>
      </c>
      <c r="M63" s="23">
        <f t="shared" si="23"/>
        <v>349.22823143300388</v>
      </c>
      <c r="N63" s="23">
        <f t="shared" si="23"/>
        <v>369.99442271163434</v>
      </c>
      <c r="O63" s="23">
        <f t="shared" si="23"/>
        <v>391.99543598174927</v>
      </c>
      <c r="P63" s="23">
        <f t="shared" si="23"/>
        <v>415.30469757994513</v>
      </c>
      <c r="Q63" s="23">
        <f t="shared" si="23"/>
        <v>440</v>
      </c>
      <c r="R63" s="23">
        <f t="shared" si="23"/>
        <v>466.16376151808993</v>
      </c>
      <c r="S63" s="23">
        <f t="shared" si="23"/>
        <v>493.88330125612413</v>
      </c>
      <c r="T63" s="23">
        <f t="shared" si="23"/>
        <v>523.25113060119736</v>
      </c>
      <c r="U63" s="23">
        <f t="shared" si="23"/>
        <v>554.36526195374415</v>
      </c>
      <c r="V63" s="23">
        <f t="shared" si="23"/>
        <v>587.32953583481515</v>
      </c>
      <c r="W63" s="23">
        <f t="shared" si="23"/>
        <v>622.25396744416184</v>
      </c>
      <c r="X63" s="23">
        <f t="shared" si="23"/>
        <v>659.25511382573995</v>
      </c>
      <c r="Y63" s="23">
        <f t="shared" si="23"/>
        <v>698.45646286600777</v>
      </c>
      <c r="Z63" s="23">
        <f t="shared" si="23"/>
        <v>739.98884542326891</v>
      </c>
      <c r="AA63" s="23">
        <f t="shared" si="23"/>
        <v>783.99087196349865</v>
      </c>
      <c r="AB63" s="23">
        <f t="shared" si="23"/>
        <v>830.60939515989048</v>
      </c>
      <c r="AC63" s="23">
        <f t="shared" si="23"/>
        <v>880</v>
      </c>
      <c r="AD63" s="23">
        <f t="shared" si="23"/>
        <v>932.32752303617985</v>
      </c>
      <c r="AE63" s="23">
        <f t="shared" si="23"/>
        <v>987.76660251224848</v>
      </c>
      <c r="AF63" s="23">
        <f t="shared" si="23"/>
        <v>1046.5022612023947</v>
      </c>
      <c r="AG63" s="23">
        <f t="shared" si="23"/>
        <v>1108.7305239074885</v>
      </c>
      <c r="AH63" s="23">
        <f t="shared" si="23"/>
        <v>1174.6590716696305</v>
      </c>
    </row>
    <row r="64" spans="1:34" ht="15" customHeight="1" x14ac:dyDescent="0.2">
      <c r="A64" s="298"/>
      <c r="B64" s="302" t="s">
        <v>242</v>
      </c>
      <c r="C64" s="465" t="s">
        <v>206</v>
      </c>
      <c r="D64" s="465" t="s">
        <v>207</v>
      </c>
      <c r="E64" s="465" t="s">
        <v>208</v>
      </c>
      <c r="F64" s="465" t="s">
        <v>209</v>
      </c>
      <c r="G64" s="465" t="s">
        <v>6</v>
      </c>
      <c r="H64" s="465" t="s">
        <v>7</v>
      </c>
      <c r="I64" s="465" t="s">
        <v>8</v>
      </c>
      <c r="J64" s="465" t="s">
        <v>9</v>
      </c>
      <c r="K64" s="465" t="s">
        <v>10</v>
      </c>
      <c r="L64" s="465" t="s">
        <v>240</v>
      </c>
      <c r="M64" s="465" t="s">
        <v>12</v>
      </c>
      <c r="N64" s="465" t="s">
        <v>13</v>
      </c>
      <c r="O64" s="465" t="s">
        <v>14</v>
      </c>
      <c r="P64" s="465" t="s">
        <v>15</v>
      </c>
      <c r="Q64" s="465" t="s">
        <v>16</v>
      </c>
      <c r="R64" s="465" t="s">
        <v>17</v>
      </c>
      <c r="S64" s="465" t="s">
        <v>18</v>
      </c>
      <c r="T64" s="465" t="s">
        <v>19</v>
      </c>
      <c r="U64" s="465" t="s">
        <v>20</v>
      </c>
      <c r="V64" s="465" t="s">
        <v>35</v>
      </c>
      <c r="W64" s="465" t="s">
        <v>210</v>
      </c>
      <c r="X64" s="465" t="s">
        <v>211</v>
      </c>
      <c r="Y64" s="465" t="s">
        <v>45</v>
      </c>
      <c r="Z64" s="465" t="s">
        <v>212</v>
      </c>
      <c r="AA64" s="465" t="s">
        <v>213</v>
      </c>
      <c r="AB64" s="465" t="s">
        <v>725</v>
      </c>
      <c r="AC64" s="465" t="s">
        <v>53</v>
      </c>
      <c r="AD64" s="465" t="s">
        <v>734</v>
      </c>
      <c r="AE64" s="465" t="s">
        <v>737</v>
      </c>
      <c r="AF64" s="465" t="s">
        <v>214</v>
      </c>
      <c r="AG64" s="465" t="s">
        <v>740</v>
      </c>
      <c r="AH64" s="465" t="s">
        <v>247</v>
      </c>
    </row>
    <row r="65" spans="1:34" ht="15" customHeight="1" x14ac:dyDescent="0.2">
      <c r="A65" s="298"/>
      <c r="B65" s="303" t="s">
        <v>250</v>
      </c>
      <c r="C65" s="466">
        <f t="shared" ref="C65:AH65" si="24">((2^(1/12))^(C2+1-49))*440</f>
        <v>207.65234878997256</v>
      </c>
      <c r="D65" s="466">
        <f t="shared" si="24"/>
        <v>220</v>
      </c>
      <c r="E65" s="466">
        <f t="shared" si="24"/>
        <v>233.08188075904491</v>
      </c>
      <c r="F65" s="466">
        <f t="shared" si="24"/>
        <v>246.94165062806201</v>
      </c>
      <c r="G65" s="466">
        <f t="shared" si="24"/>
        <v>261.62556530059862</v>
      </c>
      <c r="H65" s="466">
        <f t="shared" si="24"/>
        <v>277.18263097687208</v>
      </c>
      <c r="I65" s="466">
        <f t="shared" si="24"/>
        <v>293.66476791740752</v>
      </c>
      <c r="J65" s="466">
        <f t="shared" si="24"/>
        <v>311.12698372208087</v>
      </c>
      <c r="K65" s="466">
        <f t="shared" si="24"/>
        <v>329.62755691286992</v>
      </c>
      <c r="L65" s="466">
        <f t="shared" si="24"/>
        <v>349.22823143300388</v>
      </c>
      <c r="M65" s="466">
        <f t="shared" si="24"/>
        <v>369.99442271163434</v>
      </c>
      <c r="N65" s="466">
        <f t="shared" si="24"/>
        <v>391.99543598174927</v>
      </c>
      <c r="O65" s="466">
        <f t="shared" si="24"/>
        <v>415.30469757994513</v>
      </c>
      <c r="P65" s="466">
        <f t="shared" si="24"/>
        <v>440</v>
      </c>
      <c r="Q65" s="466">
        <f t="shared" si="24"/>
        <v>466.16376151808993</v>
      </c>
      <c r="R65" s="466">
        <f t="shared" si="24"/>
        <v>493.88330125612413</v>
      </c>
      <c r="S65" s="466">
        <f t="shared" si="24"/>
        <v>523.25113060119736</v>
      </c>
      <c r="T65" s="466">
        <f t="shared" si="24"/>
        <v>554.36526195374415</v>
      </c>
      <c r="U65" s="466">
        <f t="shared" si="24"/>
        <v>587.32953583481515</v>
      </c>
      <c r="V65" s="466">
        <f t="shared" si="24"/>
        <v>622.25396744416184</v>
      </c>
      <c r="W65" s="466">
        <f t="shared" si="24"/>
        <v>659.25511382573995</v>
      </c>
      <c r="X65" s="466">
        <f t="shared" si="24"/>
        <v>698.45646286600777</v>
      </c>
      <c r="Y65" s="466">
        <f t="shared" si="24"/>
        <v>739.98884542326891</v>
      </c>
      <c r="Z65" s="466">
        <f t="shared" si="24"/>
        <v>783.99087196349865</v>
      </c>
      <c r="AA65" s="466">
        <f t="shared" si="24"/>
        <v>830.60939515989048</v>
      </c>
      <c r="AB65" s="466">
        <f t="shared" si="24"/>
        <v>880</v>
      </c>
      <c r="AC65" s="466">
        <f t="shared" si="24"/>
        <v>932.32752303617985</v>
      </c>
      <c r="AD65" s="466">
        <f t="shared" si="24"/>
        <v>987.76660251224848</v>
      </c>
      <c r="AE65" s="466">
        <f t="shared" si="24"/>
        <v>1046.5022612023947</v>
      </c>
      <c r="AF65" s="466">
        <f t="shared" si="24"/>
        <v>1108.7305239074885</v>
      </c>
      <c r="AG65" s="466">
        <f t="shared" si="24"/>
        <v>1174.6590716696305</v>
      </c>
      <c r="AH65" s="466">
        <f t="shared" si="24"/>
        <v>1244.5079348883239</v>
      </c>
    </row>
    <row r="66" spans="1:34" ht="12.75" x14ac:dyDescent="0.2">
      <c r="A66" s="298"/>
      <c r="B66" s="249" t="s">
        <v>251</v>
      </c>
      <c r="C66" s="465"/>
      <c r="D66" s="465"/>
      <c r="E66" s="465"/>
      <c r="F66" s="465"/>
      <c r="G66" s="465"/>
      <c r="H66" s="465"/>
      <c r="I66" s="465"/>
      <c r="J66" s="465"/>
      <c r="K66" s="465"/>
      <c r="L66" s="465"/>
      <c r="M66" s="465"/>
      <c r="N66" s="465"/>
      <c r="O66" s="465"/>
      <c r="P66" s="465"/>
      <c r="Q66" s="465"/>
      <c r="R66" s="465"/>
      <c r="S66" s="465"/>
      <c r="T66" s="465"/>
      <c r="U66" s="465"/>
      <c r="V66" s="465"/>
      <c r="W66" s="465"/>
      <c r="X66" s="465"/>
      <c r="Y66" s="465"/>
      <c r="Z66" s="465"/>
      <c r="AA66" s="465"/>
      <c r="AB66" s="465"/>
      <c r="AC66" s="465"/>
      <c r="AD66" s="465"/>
      <c r="AE66" s="465"/>
      <c r="AF66" s="465"/>
      <c r="AG66" s="465"/>
      <c r="AH66" s="465"/>
    </row>
    <row r="67" spans="1:34" ht="12.75" x14ac:dyDescent="0.2">
      <c r="A67" s="298"/>
      <c r="B67" s="249" t="s">
        <v>252</v>
      </c>
      <c r="C67" s="465"/>
      <c r="D67" s="465"/>
      <c r="E67" s="465"/>
      <c r="F67" s="465"/>
      <c r="G67" s="465"/>
      <c r="H67" s="465"/>
      <c r="I67" s="465"/>
      <c r="J67" s="465"/>
      <c r="K67" s="465"/>
      <c r="L67" s="465"/>
      <c r="M67" s="465"/>
      <c r="N67" s="465"/>
      <c r="O67" s="465"/>
      <c r="P67" s="465"/>
      <c r="Q67" s="465"/>
      <c r="R67" s="465"/>
      <c r="S67" s="465"/>
      <c r="T67" s="465"/>
      <c r="U67" s="465"/>
      <c r="V67" s="465"/>
      <c r="W67" s="465"/>
      <c r="X67" s="465"/>
      <c r="Y67" s="465"/>
      <c r="Z67" s="465"/>
      <c r="AA67" s="465"/>
      <c r="AB67" s="465"/>
      <c r="AC67" s="465"/>
      <c r="AD67" s="465"/>
      <c r="AE67" s="465"/>
      <c r="AF67" s="465"/>
      <c r="AG67" s="465"/>
      <c r="AH67" s="465"/>
    </row>
    <row r="68" spans="1:34" ht="12.75" x14ac:dyDescent="0.2">
      <c r="A68" s="298"/>
      <c r="B68" s="302" t="s">
        <v>253</v>
      </c>
      <c r="C68" s="465" t="s">
        <v>209</v>
      </c>
      <c r="D68" s="465" t="s">
        <v>6</v>
      </c>
      <c r="E68" s="465" t="s">
        <v>7</v>
      </c>
      <c r="F68" s="465" t="s">
        <v>8</v>
      </c>
      <c r="G68" s="465" t="s">
        <v>9</v>
      </c>
      <c r="H68" s="465" t="s">
        <v>10</v>
      </c>
      <c r="I68" s="465" t="s">
        <v>240</v>
      </c>
      <c r="J68" s="465" t="s">
        <v>12</v>
      </c>
      <c r="K68" s="465" t="s">
        <v>13</v>
      </c>
      <c r="L68" s="465" t="s">
        <v>14</v>
      </c>
      <c r="M68" s="465" t="s">
        <v>15</v>
      </c>
      <c r="N68" s="465" t="s">
        <v>16</v>
      </c>
      <c r="O68" s="465" t="s">
        <v>17</v>
      </c>
      <c r="P68" s="465" t="s">
        <v>19</v>
      </c>
      <c r="Q68" s="465" t="s">
        <v>19</v>
      </c>
      <c r="R68" s="465" t="s">
        <v>20</v>
      </c>
      <c r="S68" s="465" t="s">
        <v>35</v>
      </c>
      <c r="T68" s="465" t="s">
        <v>210</v>
      </c>
      <c r="U68" s="465" t="s">
        <v>211</v>
      </c>
      <c r="V68" s="465" t="s">
        <v>45</v>
      </c>
      <c r="W68" s="465" t="s">
        <v>213</v>
      </c>
      <c r="X68" s="465" t="s">
        <v>213</v>
      </c>
      <c r="Y68" s="465" t="s">
        <v>725</v>
      </c>
      <c r="Z68" s="465" t="s">
        <v>53</v>
      </c>
      <c r="AA68" s="465" t="s">
        <v>734</v>
      </c>
      <c r="AB68" s="465" t="s">
        <v>214</v>
      </c>
      <c r="AC68" s="465" t="s">
        <v>214</v>
      </c>
      <c r="AD68" s="465" t="s">
        <v>740</v>
      </c>
      <c r="AE68" s="465" t="s">
        <v>247</v>
      </c>
      <c r="AF68" s="465" t="s">
        <v>744</v>
      </c>
      <c r="AG68" s="465" t="s">
        <v>746</v>
      </c>
      <c r="AH68" s="465" t="s">
        <v>259</v>
      </c>
    </row>
    <row r="69" spans="1:34" ht="12.75" x14ac:dyDescent="0.2">
      <c r="A69" s="298"/>
      <c r="B69" s="303" t="s">
        <v>250</v>
      </c>
      <c r="C69" s="466">
        <f t="shared" ref="C69:AH69" si="25">((2^(1/12))^(C2+4-49))*440</f>
        <v>246.94165062806201</v>
      </c>
      <c r="D69" s="466">
        <f t="shared" si="25"/>
        <v>261.62556530059862</v>
      </c>
      <c r="E69" s="466">
        <f t="shared" si="25"/>
        <v>277.18263097687208</v>
      </c>
      <c r="F69" s="466">
        <f t="shared" si="25"/>
        <v>293.66476791740752</v>
      </c>
      <c r="G69" s="466">
        <f t="shared" si="25"/>
        <v>311.12698372208087</v>
      </c>
      <c r="H69" s="466">
        <f t="shared" si="25"/>
        <v>329.62755691286992</v>
      </c>
      <c r="I69" s="466">
        <f t="shared" si="25"/>
        <v>349.22823143300388</v>
      </c>
      <c r="J69" s="466">
        <f t="shared" si="25"/>
        <v>369.99442271163434</v>
      </c>
      <c r="K69" s="466">
        <f t="shared" si="25"/>
        <v>391.99543598174927</v>
      </c>
      <c r="L69" s="466">
        <f t="shared" si="25"/>
        <v>415.30469757994513</v>
      </c>
      <c r="M69" s="466">
        <f t="shared" si="25"/>
        <v>440</v>
      </c>
      <c r="N69" s="466">
        <f t="shared" si="25"/>
        <v>466.16376151808993</v>
      </c>
      <c r="O69" s="466">
        <f t="shared" si="25"/>
        <v>493.88330125612413</v>
      </c>
      <c r="P69" s="466">
        <f t="shared" si="25"/>
        <v>523.25113060119736</v>
      </c>
      <c r="Q69" s="466">
        <f t="shared" si="25"/>
        <v>554.36526195374415</v>
      </c>
      <c r="R69" s="466">
        <f t="shared" si="25"/>
        <v>587.32953583481515</v>
      </c>
      <c r="S69" s="466">
        <f t="shared" si="25"/>
        <v>622.25396744416184</v>
      </c>
      <c r="T69" s="466">
        <f t="shared" si="25"/>
        <v>659.25511382573995</v>
      </c>
      <c r="U69" s="466">
        <f t="shared" si="25"/>
        <v>698.45646286600777</v>
      </c>
      <c r="V69" s="466">
        <f t="shared" si="25"/>
        <v>739.98884542326891</v>
      </c>
      <c r="W69" s="466">
        <f t="shared" si="25"/>
        <v>783.99087196349865</v>
      </c>
      <c r="X69" s="466">
        <f t="shared" si="25"/>
        <v>830.60939515989048</v>
      </c>
      <c r="Y69" s="466">
        <f t="shared" si="25"/>
        <v>880</v>
      </c>
      <c r="Z69" s="466">
        <f t="shared" si="25"/>
        <v>932.32752303617985</v>
      </c>
      <c r="AA69" s="466">
        <f t="shared" si="25"/>
        <v>987.76660251224848</v>
      </c>
      <c r="AB69" s="466">
        <f t="shared" si="25"/>
        <v>1046.5022612023947</v>
      </c>
      <c r="AC69" s="466">
        <f t="shared" si="25"/>
        <v>1108.7305239074885</v>
      </c>
      <c r="AD69" s="466">
        <f t="shared" si="25"/>
        <v>1174.6590716696305</v>
      </c>
      <c r="AE69" s="466">
        <f t="shared" si="25"/>
        <v>1244.5079348883239</v>
      </c>
      <c r="AF69" s="466">
        <f t="shared" si="25"/>
        <v>1318.5102276514801</v>
      </c>
      <c r="AG69" s="466">
        <f t="shared" si="25"/>
        <v>1396.9129257320158</v>
      </c>
      <c r="AH69" s="466">
        <f t="shared" si="25"/>
        <v>1479.9776908465378</v>
      </c>
    </row>
    <row r="70" spans="1:34" ht="12.75" x14ac:dyDescent="0.2">
      <c r="A70" s="298"/>
      <c r="B70" s="249" t="s">
        <v>251</v>
      </c>
      <c r="C70" s="465"/>
      <c r="D70" s="465"/>
      <c r="E70" s="465"/>
      <c r="F70" s="465"/>
      <c r="G70" s="465"/>
      <c r="H70" s="465"/>
      <c r="I70" s="465"/>
      <c r="J70" s="465"/>
      <c r="K70" s="465"/>
      <c r="L70" s="465"/>
      <c r="M70" s="465"/>
      <c r="N70" s="465"/>
      <c r="O70" s="465"/>
      <c r="P70" s="465"/>
      <c r="Q70" s="465"/>
      <c r="R70" s="465"/>
      <c r="S70" s="465"/>
      <c r="T70" s="465"/>
      <c r="U70" s="465"/>
      <c r="V70" s="465"/>
      <c r="W70" s="465"/>
      <c r="X70" s="465"/>
      <c r="Y70" s="465"/>
      <c r="Z70" s="465"/>
      <c r="AA70" s="465"/>
      <c r="AB70" s="465"/>
      <c r="AC70" s="465"/>
      <c r="AD70" s="465"/>
      <c r="AE70" s="465"/>
      <c r="AF70" s="465"/>
      <c r="AG70" s="465"/>
      <c r="AH70" s="465"/>
    </row>
    <row r="71" spans="1:34" ht="12.75" x14ac:dyDescent="0.2">
      <c r="A71" s="298"/>
      <c r="B71" s="249" t="s">
        <v>252</v>
      </c>
      <c r="C71" s="465"/>
      <c r="D71" s="465"/>
      <c r="E71" s="465"/>
      <c r="F71" s="465"/>
      <c r="G71" s="465"/>
      <c r="H71" s="465"/>
      <c r="I71" s="465"/>
      <c r="J71" s="465"/>
      <c r="K71" s="465"/>
      <c r="L71" s="465"/>
      <c r="M71" s="465"/>
      <c r="N71" s="465"/>
      <c r="O71" s="465"/>
      <c r="P71" s="465"/>
      <c r="Q71" s="465"/>
      <c r="R71" s="465"/>
      <c r="S71" s="465"/>
      <c r="T71" s="465"/>
      <c r="U71" s="465"/>
      <c r="V71" s="465"/>
      <c r="W71" s="465"/>
      <c r="X71" s="465"/>
      <c r="Y71" s="465"/>
      <c r="Z71" s="465"/>
      <c r="AA71" s="465"/>
      <c r="AB71" s="465"/>
      <c r="AC71" s="465"/>
      <c r="AD71" s="465"/>
      <c r="AE71" s="465"/>
      <c r="AF71" s="465"/>
      <c r="AG71" s="465"/>
      <c r="AH71" s="465"/>
    </row>
    <row r="72" spans="1:34" ht="12.75" x14ac:dyDescent="0.2">
      <c r="A72" s="298"/>
      <c r="B72" s="302" t="s">
        <v>258</v>
      </c>
      <c r="C72" s="465" t="s">
        <v>6</v>
      </c>
      <c r="D72" s="465" t="s">
        <v>7</v>
      </c>
      <c r="E72" s="465" t="s">
        <v>8</v>
      </c>
      <c r="F72" s="465" t="s">
        <v>9</v>
      </c>
      <c r="G72" s="465" t="s">
        <v>10</v>
      </c>
      <c r="H72" s="465" t="s">
        <v>240</v>
      </c>
      <c r="I72" s="465" t="s">
        <v>12</v>
      </c>
      <c r="J72" s="465" t="s">
        <v>13</v>
      </c>
      <c r="K72" s="465" t="s">
        <v>14</v>
      </c>
      <c r="L72" s="465" t="s">
        <v>15</v>
      </c>
      <c r="M72" s="465" t="s">
        <v>16</v>
      </c>
      <c r="N72" s="465" t="s">
        <v>17</v>
      </c>
      <c r="O72" s="465" t="s">
        <v>18</v>
      </c>
      <c r="P72" s="465" t="s">
        <v>20</v>
      </c>
      <c r="Q72" s="465" t="s">
        <v>20</v>
      </c>
      <c r="R72" s="465" t="s">
        <v>35</v>
      </c>
      <c r="S72" s="465" t="s">
        <v>210</v>
      </c>
      <c r="T72" s="465" t="s">
        <v>211</v>
      </c>
      <c r="U72" s="465" t="s">
        <v>45</v>
      </c>
      <c r="V72" s="465" t="s">
        <v>212</v>
      </c>
      <c r="W72" s="465" t="s">
        <v>725</v>
      </c>
      <c r="X72" s="465" t="s">
        <v>725</v>
      </c>
      <c r="Y72" s="465" t="s">
        <v>53</v>
      </c>
      <c r="Z72" s="465" t="s">
        <v>734</v>
      </c>
      <c r="AA72" s="465" t="s">
        <v>737</v>
      </c>
      <c r="AB72" s="465" t="s">
        <v>740</v>
      </c>
      <c r="AC72" s="465" t="s">
        <v>740</v>
      </c>
      <c r="AD72" s="465" t="s">
        <v>247</v>
      </c>
      <c r="AE72" s="465" t="s">
        <v>744</v>
      </c>
      <c r="AF72" s="465" t="s">
        <v>746</v>
      </c>
      <c r="AG72" s="465" t="s">
        <v>259</v>
      </c>
      <c r="AH72" s="465" t="s">
        <v>749</v>
      </c>
    </row>
    <row r="73" spans="1:34" ht="12.75" x14ac:dyDescent="0.2">
      <c r="A73" s="298"/>
      <c r="B73" s="303" t="s">
        <v>250</v>
      </c>
      <c r="C73" s="466">
        <f t="shared" ref="C73:AH73" si="26">((2^(1/12))^(C2+5-49))*440</f>
        <v>261.62556530059862</v>
      </c>
      <c r="D73" s="466">
        <f t="shared" si="26"/>
        <v>277.18263097687208</v>
      </c>
      <c r="E73" s="466">
        <f t="shared" si="26"/>
        <v>293.66476791740752</v>
      </c>
      <c r="F73" s="466">
        <f t="shared" si="26"/>
        <v>311.12698372208087</v>
      </c>
      <c r="G73" s="466">
        <f t="shared" si="26"/>
        <v>329.62755691286992</v>
      </c>
      <c r="H73" s="466">
        <f t="shared" si="26"/>
        <v>349.22823143300388</v>
      </c>
      <c r="I73" s="466">
        <f t="shared" si="26"/>
        <v>369.99442271163434</v>
      </c>
      <c r="J73" s="466">
        <f t="shared" si="26"/>
        <v>391.99543598174927</v>
      </c>
      <c r="K73" s="466">
        <f t="shared" si="26"/>
        <v>415.30469757994513</v>
      </c>
      <c r="L73" s="466">
        <f t="shared" si="26"/>
        <v>440</v>
      </c>
      <c r="M73" s="466">
        <f t="shared" si="26"/>
        <v>466.16376151808993</v>
      </c>
      <c r="N73" s="466">
        <f t="shared" si="26"/>
        <v>493.88330125612413</v>
      </c>
      <c r="O73" s="466">
        <f t="shared" si="26"/>
        <v>523.25113060119736</v>
      </c>
      <c r="P73" s="466">
        <f t="shared" si="26"/>
        <v>554.36526195374415</v>
      </c>
      <c r="Q73" s="466">
        <f t="shared" si="26"/>
        <v>587.32953583481515</v>
      </c>
      <c r="R73" s="466">
        <f t="shared" si="26"/>
        <v>622.25396744416184</v>
      </c>
      <c r="S73" s="466">
        <f t="shared" si="26"/>
        <v>659.25511382573995</v>
      </c>
      <c r="T73" s="466">
        <f t="shared" si="26"/>
        <v>698.45646286600777</v>
      </c>
      <c r="U73" s="466">
        <f t="shared" si="26"/>
        <v>739.98884542326891</v>
      </c>
      <c r="V73" s="466">
        <f t="shared" si="26"/>
        <v>783.99087196349865</v>
      </c>
      <c r="W73" s="466">
        <f t="shared" si="26"/>
        <v>830.60939515989048</v>
      </c>
      <c r="X73" s="466">
        <f t="shared" si="26"/>
        <v>880</v>
      </c>
      <c r="Y73" s="466">
        <f t="shared" si="26"/>
        <v>932.32752303617985</v>
      </c>
      <c r="Z73" s="466">
        <f t="shared" si="26"/>
        <v>987.76660251224848</v>
      </c>
      <c r="AA73" s="466">
        <f t="shared" si="26"/>
        <v>1046.5022612023947</v>
      </c>
      <c r="AB73" s="466">
        <f t="shared" si="26"/>
        <v>1108.7305239074885</v>
      </c>
      <c r="AC73" s="466">
        <f t="shared" si="26"/>
        <v>1174.6590716696305</v>
      </c>
      <c r="AD73" s="466">
        <f t="shared" si="26"/>
        <v>1244.5079348883239</v>
      </c>
      <c r="AE73" s="466">
        <f t="shared" si="26"/>
        <v>1318.5102276514801</v>
      </c>
      <c r="AF73" s="466">
        <f t="shared" si="26"/>
        <v>1396.9129257320158</v>
      </c>
      <c r="AG73" s="466">
        <f t="shared" si="26"/>
        <v>1479.9776908465378</v>
      </c>
      <c r="AH73" s="466">
        <f t="shared" si="26"/>
        <v>1567.9817439269975</v>
      </c>
    </row>
    <row r="74" spans="1:34" ht="12.75" x14ac:dyDescent="0.2">
      <c r="A74" s="298"/>
      <c r="B74" s="249" t="s">
        <v>251</v>
      </c>
      <c r="C74" s="465"/>
      <c r="D74" s="465"/>
      <c r="E74" s="465"/>
      <c r="F74" s="465"/>
      <c r="G74" s="465"/>
      <c r="H74" s="465"/>
      <c r="I74" s="465"/>
      <c r="J74" s="465"/>
      <c r="K74" s="465"/>
      <c r="L74" s="465"/>
      <c r="M74" s="465"/>
      <c r="N74" s="465"/>
      <c r="O74" s="465"/>
      <c r="P74" s="465"/>
      <c r="Q74" s="465"/>
      <c r="R74" s="465"/>
      <c r="S74" s="465"/>
      <c r="T74" s="465"/>
      <c r="U74" s="465"/>
      <c r="V74" s="465"/>
      <c r="W74" s="465"/>
      <c r="X74" s="465"/>
      <c r="Y74" s="465"/>
      <c r="Z74" s="465"/>
      <c r="AA74" s="465"/>
      <c r="AB74" s="465"/>
      <c r="AC74" s="465"/>
      <c r="AD74" s="465"/>
      <c r="AE74" s="465"/>
      <c r="AF74" s="465"/>
      <c r="AG74" s="465"/>
      <c r="AH74" s="465"/>
    </row>
    <row r="75" spans="1:34" ht="12.75" x14ac:dyDescent="0.2">
      <c r="A75" s="298"/>
      <c r="B75" s="249" t="s">
        <v>252</v>
      </c>
      <c r="C75" s="465"/>
      <c r="D75" s="465"/>
      <c r="E75" s="465"/>
      <c r="F75" s="465"/>
      <c r="G75" s="465"/>
      <c r="H75" s="465"/>
      <c r="I75" s="465"/>
      <c r="J75" s="465"/>
      <c r="K75" s="465"/>
      <c r="L75" s="465"/>
      <c r="M75" s="465"/>
      <c r="N75" s="465"/>
      <c r="O75" s="465"/>
      <c r="P75" s="465"/>
      <c r="Q75" s="465"/>
      <c r="R75" s="465"/>
      <c r="S75" s="465"/>
      <c r="T75" s="465"/>
      <c r="U75" s="465"/>
      <c r="V75" s="465"/>
      <c r="W75" s="465"/>
      <c r="X75" s="465"/>
      <c r="Y75" s="465"/>
      <c r="Z75" s="465"/>
      <c r="AA75" s="465"/>
      <c r="AB75" s="465"/>
      <c r="AC75" s="465"/>
      <c r="AD75" s="465"/>
      <c r="AE75" s="465"/>
      <c r="AF75" s="465"/>
      <c r="AG75" s="465"/>
      <c r="AH75" s="465"/>
    </row>
    <row r="76" spans="1:34" ht="12.75" x14ac:dyDescent="0.2">
      <c r="A76" s="298"/>
      <c r="B76" s="302" t="s">
        <v>262</v>
      </c>
      <c r="C76" s="465" t="s">
        <v>8</v>
      </c>
      <c r="D76" s="465" t="s">
        <v>9</v>
      </c>
      <c r="E76" s="465" t="s">
        <v>10</v>
      </c>
      <c r="F76" s="465" t="s">
        <v>240</v>
      </c>
      <c r="G76" s="465" t="s">
        <v>12</v>
      </c>
      <c r="H76" s="465" t="s">
        <v>13</v>
      </c>
      <c r="I76" s="465" t="s">
        <v>14</v>
      </c>
      <c r="J76" s="465" t="s">
        <v>15</v>
      </c>
      <c r="K76" s="465" t="s">
        <v>16</v>
      </c>
      <c r="L76" s="465" t="s">
        <v>17</v>
      </c>
      <c r="M76" s="465" t="s">
        <v>18</v>
      </c>
      <c r="N76" s="465" t="s">
        <v>19</v>
      </c>
      <c r="O76" s="465" t="s">
        <v>20</v>
      </c>
      <c r="P76" s="465" t="s">
        <v>210</v>
      </c>
      <c r="Q76" s="465" t="s">
        <v>210</v>
      </c>
      <c r="R76" s="465" t="s">
        <v>211</v>
      </c>
      <c r="S76" s="465" t="s">
        <v>45</v>
      </c>
      <c r="T76" s="465" t="s">
        <v>213</v>
      </c>
      <c r="U76" s="465" t="s">
        <v>213</v>
      </c>
      <c r="V76" s="465" t="s">
        <v>725</v>
      </c>
      <c r="W76" s="465" t="s">
        <v>734</v>
      </c>
      <c r="X76" s="465" t="s">
        <v>734</v>
      </c>
      <c r="Y76" s="465" t="s">
        <v>737</v>
      </c>
      <c r="Z76" s="465" t="s">
        <v>214</v>
      </c>
      <c r="AA76" s="465" t="s">
        <v>740</v>
      </c>
      <c r="AB76" s="465" t="s">
        <v>744</v>
      </c>
      <c r="AC76" s="465" t="s">
        <v>744</v>
      </c>
      <c r="AD76" s="465" t="s">
        <v>746</v>
      </c>
      <c r="AE76" s="465" t="s">
        <v>259</v>
      </c>
      <c r="AF76" s="465" t="s">
        <v>751</v>
      </c>
      <c r="AG76" s="465" t="s">
        <v>751</v>
      </c>
      <c r="AH76" s="465" t="s">
        <v>887</v>
      </c>
    </row>
    <row r="77" spans="1:34" ht="12.75" x14ac:dyDescent="0.2">
      <c r="A77" s="298"/>
      <c r="B77" s="302" t="s">
        <v>250</v>
      </c>
      <c r="C77" s="466">
        <f t="shared" ref="C77:AH77" si="27">((2^(1/12))^(C2+7-49))*440</f>
        <v>293.66476791740752</v>
      </c>
      <c r="D77" s="466">
        <f t="shared" si="27"/>
        <v>311.12698372208087</v>
      </c>
      <c r="E77" s="466">
        <f t="shared" si="27"/>
        <v>329.62755691286992</v>
      </c>
      <c r="F77" s="466">
        <f t="shared" si="27"/>
        <v>349.22823143300388</v>
      </c>
      <c r="G77" s="466">
        <f t="shared" si="27"/>
        <v>369.99442271163434</v>
      </c>
      <c r="H77" s="466">
        <f t="shared" si="27"/>
        <v>391.99543598174927</v>
      </c>
      <c r="I77" s="466">
        <f t="shared" si="27"/>
        <v>415.30469757994513</v>
      </c>
      <c r="J77" s="466">
        <f t="shared" si="27"/>
        <v>440</v>
      </c>
      <c r="K77" s="466">
        <f t="shared" si="27"/>
        <v>466.16376151808993</v>
      </c>
      <c r="L77" s="466">
        <f t="shared" si="27"/>
        <v>493.88330125612413</v>
      </c>
      <c r="M77" s="466">
        <f t="shared" si="27"/>
        <v>523.25113060119736</v>
      </c>
      <c r="N77" s="466">
        <f t="shared" si="27"/>
        <v>554.36526195374415</v>
      </c>
      <c r="O77" s="466">
        <f t="shared" si="27"/>
        <v>587.32953583481515</v>
      </c>
      <c r="P77" s="466">
        <f t="shared" si="27"/>
        <v>622.25396744416184</v>
      </c>
      <c r="Q77" s="466">
        <f t="shared" si="27"/>
        <v>659.25511382573995</v>
      </c>
      <c r="R77" s="466">
        <f t="shared" si="27"/>
        <v>698.45646286600777</v>
      </c>
      <c r="S77" s="466">
        <f t="shared" si="27"/>
        <v>739.98884542326891</v>
      </c>
      <c r="T77" s="466">
        <f t="shared" si="27"/>
        <v>783.99087196349865</v>
      </c>
      <c r="U77" s="466">
        <f t="shared" si="27"/>
        <v>830.60939515989048</v>
      </c>
      <c r="V77" s="466">
        <f t="shared" si="27"/>
        <v>880</v>
      </c>
      <c r="W77" s="466">
        <f t="shared" si="27"/>
        <v>932.32752303617985</v>
      </c>
      <c r="X77" s="466">
        <f t="shared" si="27"/>
        <v>987.76660251224848</v>
      </c>
      <c r="Y77" s="466">
        <f t="shared" si="27"/>
        <v>1046.5022612023947</v>
      </c>
      <c r="Z77" s="466">
        <f t="shared" si="27"/>
        <v>1108.7305239074885</v>
      </c>
      <c r="AA77" s="466">
        <f t="shared" si="27"/>
        <v>1174.6590716696305</v>
      </c>
      <c r="AB77" s="466">
        <f t="shared" si="27"/>
        <v>1244.5079348883239</v>
      </c>
      <c r="AC77" s="466">
        <f t="shared" si="27"/>
        <v>1318.5102276514801</v>
      </c>
      <c r="AD77" s="466">
        <f t="shared" si="27"/>
        <v>1396.9129257320158</v>
      </c>
      <c r="AE77" s="466">
        <f t="shared" si="27"/>
        <v>1479.9776908465378</v>
      </c>
      <c r="AF77" s="466">
        <f t="shared" si="27"/>
        <v>1567.9817439269975</v>
      </c>
      <c r="AG77" s="466">
        <f t="shared" si="27"/>
        <v>1661.2187903197812</v>
      </c>
      <c r="AH77" s="466">
        <f t="shared" si="27"/>
        <v>1760.0000000000005</v>
      </c>
    </row>
    <row r="78" spans="1:34" ht="12.75" x14ac:dyDescent="0.2">
      <c r="A78" s="298"/>
      <c r="B78" s="249" t="s">
        <v>251</v>
      </c>
      <c r="C78" s="465"/>
      <c r="D78" s="465"/>
      <c r="E78" s="465"/>
      <c r="F78" s="465"/>
      <c r="G78" s="465"/>
      <c r="H78" s="465"/>
      <c r="I78" s="465"/>
      <c r="J78" s="465"/>
      <c r="K78" s="465"/>
      <c r="L78" s="465"/>
      <c r="M78" s="465"/>
      <c r="N78" s="465"/>
      <c r="O78" s="465"/>
      <c r="P78" s="465"/>
      <c r="Q78" s="465"/>
      <c r="R78" s="465"/>
      <c r="S78" s="465"/>
      <c r="T78" s="465"/>
      <c r="U78" s="465"/>
      <c r="V78" s="465"/>
      <c r="W78" s="465"/>
      <c r="X78" s="465"/>
      <c r="Y78" s="465"/>
      <c r="Z78" s="465"/>
      <c r="AA78" s="465"/>
      <c r="AB78" s="465"/>
      <c r="AC78" s="465"/>
      <c r="AD78" s="465"/>
      <c r="AE78" s="465"/>
      <c r="AF78" s="465"/>
      <c r="AG78" s="465"/>
      <c r="AH78" s="465"/>
    </row>
    <row r="79" spans="1:34" ht="12.75" x14ac:dyDescent="0.2">
      <c r="A79" s="298"/>
      <c r="B79" s="249" t="s">
        <v>252</v>
      </c>
      <c r="C79" s="465"/>
      <c r="D79" s="465"/>
      <c r="E79" s="465"/>
      <c r="F79" s="465"/>
      <c r="G79" s="465"/>
      <c r="H79" s="465"/>
      <c r="I79" s="465"/>
      <c r="J79" s="465"/>
      <c r="K79" s="465"/>
      <c r="L79" s="465"/>
      <c r="M79" s="465"/>
      <c r="N79" s="465"/>
      <c r="O79" s="465"/>
      <c r="P79" s="465"/>
      <c r="Q79" s="465"/>
      <c r="R79" s="465"/>
      <c r="S79" s="465"/>
      <c r="T79" s="465"/>
      <c r="U79" s="465"/>
      <c r="V79" s="465"/>
      <c r="W79" s="465"/>
      <c r="X79" s="465"/>
      <c r="Y79" s="465"/>
      <c r="Z79" s="465"/>
      <c r="AA79" s="465"/>
      <c r="AB79" s="465"/>
      <c r="AC79" s="465"/>
      <c r="AD79" s="465"/>
      <c r="AE79" s="465"/>
      <c r="AF79" s="465"/>
      <c r="AG79" s="465"/>
      <c r="AH79" s="465"/>
    </row>
    <row r="80" spans="1:34" ht="12.75" x14ac:dyDescent="0.2">
      <c r="A80" s="298"/>
      <c r="B80" s="302" t="s">
        <v>264</v>
      </c>
      <c r="C80" s="465" t="s">
        <v>9</v>
      </c>
      <c r="D80" s="465" t="s">
        <v>10</v>
      </c>
      <c r="E80" s="465" t="s">
        <v>240</v>
      </c>
      <c r="F80" s="465" t="s">
        <v>12</v>
      </c>
      <c r="G80" s="465" t="s">
        <v>13</v>
      </c>
      <c r="H80" s="465" t="s">
        <v>14</v>
      </c>
      <c r="I80" s="465" t="s">
        <v>15</v>
      </c>
      <c r="J80" s="465" t="s">
        <v>16</v>
      </c>
      <c r="K80" s="465" t="s">
        <v>17</v>
      </c>
      <c r="L80" s="465" t="s">
        <v>18</v>
      </c>
      <c r="M80" s="465" t="s">
        <v>19</v>
      </c>
      <c r="N80" s="465" t="s">
        <v>20</v>
      </c>
      <c r="O80" s="465" t="s">
        <v>35</v>
      </c>
      <c r="P80" s="465" t="s">
        <v>211</v>
      </c>
      <c r="Q80" s="465" t="s">
        <v>211</v>
      </c>
      <c r="R80" s="465" t="s">
        <v>45</v>
      </c>
      <c r="S80" s="465" t="s">
        <v>212</v>
      </c>
      <c r="T80" s="465" t="s">
        <v>725</v>
      </c>
      <c r="U80" s="465" t="s">
        <v>725</v>
      </c>
      <c r="V80" s="465" t="s">
        <v>53</v>
      </c>
      <c r="W80" s="465" t="s">
        <v>737</v>
      </c>
      <c r="X80" s="465" t="s">
        <v>737</v>
      </c>
      <c r="Y80" s="465" t="s">
        <v>214</v>
      </c>
      <c r="Z80" s="465" t="s">
        <v>740</v>
      </c>
      <c r="AA80" s="465" t="s">
        <v>247</v>
      </c>
      <c r="AB80" s="465" t="s">
        <v>746</v>
      </c>
      <c r="AC80" s="465" t="s">
        <v>746</v>
      </c>
      <c r="AD80" s="465" t="s">
        <v>259</v>
      </c>
      <c r="AE80" s="465" t="s">
        <v>749</v>
      </c>
      <c r="AF80" s="465" t="s">
        <v>887</v>
      </c>
      <c r="AG80" s="465" t="s">
        <v>887</v>
      </c>
      <c r="AH80" s="465" t="s">
        <v>265</v>
      </c>
    </row>
    <row r="81" spans="1:34" ht="12.75" x14ac:dyDescent="0.2">
      <c r="A81" s="298"/>
      <c r="B81" s="303" t="s">
        <v>250</v>
      </c>
      <c r="C81" s="466">
        <f t="shared" ref="C81:AH81" si="28">((2^(1/12))^(C2+8-49))*440</f>
        <v>311.12698372208087</v>
      </c>
      <c r="D81" s="466">
        <f t="shared" si="28"/>
        <v>329.62755691286992</v>
      </c>
      <c r="E81" s="466">
        <f t="shared" si="28"/>
        <v>349.22823143300388</v>
      </c>
      <c r="F81" s="466">
        <f t="shared" si="28"/>
        <v>369.99442271163434</v>
      </c>
      <c r="G81" s="466">
        <f t="shared" si="28"/>
        <v>391.99543598174927</v>
      </c>
      <c r="H81" s="466">
        <f t="shared" si="28"/>
        <v>415.30469757994513</v>
      </c>
      <c r="I81" s="466">
        <f t="shared" si="28"/>
        <v>440</v>
      </c>
      <c r="J81" s="466">
        <f t="shared" si="28"/>
        <v>466.16376151808993</v>
      </c>
      <c r="K81" s="466">
        <f t="shared" si="28"/>
        <v>493.88330125612413</v>
      </c>
      <c r="L81" s="466">
        <f t="shared" si="28"/>
        <v>523.25113060119736</v>
      </c>
      <c r="M81" s="466">
        <f t="shared" si="28"/>
        <v>554.36526195374415</v>
      </c>
      <c r="N81" s="466">
        <f t="shared" si="28"/>
        <v>587.32953583481515</v>
      </c>
      <c r="O81" s="466">
        <f t="shared" si="28"/>
        <v>622.25396744416184</v>
      </c>
      <c r="P81" s="466">
        <f t="shared" si="28"/>
        <v>659.25511382573995</v>
      </c>
      <c r="Q81" s="466">
        <f t="shared" si="28"/>
        <v>698.45646286600777</v>
      </c>
      <c r="R81" s="466">
        <f t="shared" si="28"/>
        <v>739.98884542326891</v>
      </c>
      <c r="S81" s="466">
        <f t="shared" si="28"/>
        <v>783.99087196349865</v>
      </c>
      <c r="T81" s="466">
        <f t="shared" si="28"/>
        <v>830.60939515989048</v>
      </c>
      <c r="U81" s="466">
        <f t="shared" si="28"/>
        <v>880</v>
      </c>
      <c r="V81" s="466">
        <f t="shared" si="28"/>
        <v>932.32752303617985</v>
      </c>
      <c r="W81" s="466">
        <f t="shared" si="28"/>
        <v>987.76660251224848</v>
      </c>
      <c r="X81" s="466">
        <f t="shared" si="28"/>
        <v>1046.5022612023947</v>
      </c>
      <c r="Y81" s="466">
        <f t="shared" si="28"/>
        <v>1108.7305239074885</v>
      </c>
      <c r="Z81" s="466">
        <f t="shared" si="28"/>
        <v>1174.6590716696305</v>
      </c>
      <c r="AA81" s="466">
        <f t="shared" si="28"/>
        <v>1244.5079348883239</v>
      </c>
      <c r="AB81" s="466">
        <f t="shared" si="28"/>
        <v>1318.5102276514801</v>
      </c>
      <c r="AC81" s="466">
        <f t="shared" si="28"/>
        <v>1396.9129257320158</v>
      </c>
      <c r="AD81" s="466">
        <f t="shared" si="28"/>
        <v>1479.9776908465378</v>
      </c>
      <c r="AE81" s="466">
        <f t="shared" si="28"/>
        <v>1567.9817439269975</v>
      </c>
      <c r="AF81" s="466">
        <f t="shared" si="28"/>
        <v>1661.2187903197812</v>
      </c>
      <c r="AG81" s="466">
        <f t="shared" si="28"/>
        <v>1760.0000000000005</v>
      </c>
      <c r="AH81" s="466">
        <f t="shared" si="28"/>
        <v>1864.6550460723602</v>
      </c>
    </row>
    <row r="82" spans="1:34" ht="12.75" x14ac:dyDescent="0.2">
      <c r="A82" s="298"/>
      <c r="B82" s="249" t="s">
        <v>251</v>
      </c>
      <c r="C82" s="465"/>
      <c r="D82" s="465"/>
      <c r="E82" s="465"/>
      <c r="F82" s="465"/>
      <c r="G82" s="465"/>
      <c r="H82" s="465"/>
      <c r="I82" s="465"/>
      <c r="J82" s="465"/>
      <c r="K82" s="465"/>
      <c r="L82" s="465"/>
      <c r="M82" s="465"/>
      <c r="N82" s="465"/>
      <c r="O82" s="465"/>
      <c r="P82" s="465"/>
      <c r="Q82" s="465"/>
      <c r="R82" s="465"/>
      <c r="S82" s="465"/>
      <c r="T82" s="465"/>
      <c r="U82" s="465"/>
      <c r="V82" s="465"/>
      <c r="W82" s="465"/>
      <c r="X82" s="465"/>
      <c r="Y82" s="465"/>
      <c r="Z82" s="465"/>
      <c r="AA82" s="465"/>
      <c r="AB82" s="465"/>
      <c r="AC82" s="465"/>
      <c r="AD82" s="465"/>
      <c r="AE82" s="465"/>
      <c r="AF82" s="465"/>
      <c r="AG82" s="465"/>
      <c r="AH82" s="465"/>
    </row>
    <row r="83" spans="1:34" ht="12.75" x14ac:dyDescent="0.2">
      <c r="A83" s="298"/>
      <c r="B83" s="249" t="s">
        <v>252</v>
      </c>
      <c r="C83" s="465"/>
      <c r="D83" s="465"/>
      <c r="E83" s="465"/>
      <c r="F83" s="465"/>
      <c r="G83" s="465"/>
      <c r="H83" s="465"/>
      <c r="I83" s="465"/>
      <c r="J83" s="465"/>
      <c r="K83" s="465"/>
      <c r="L83" s="465"/>
      <c r="M83" s="465"/>
      <c r="N83" s="465"/>
      <c r="O83" s="465"/>
      <c r="P83" s="465"/>
      <c r="Q83" s="465"/>
      <c r="R83" s="465"/>
      <c r="S83" s="465"/>
      <c r="T83" s="465"/>
      <c r="U83" s="465"/>
      <c r="V83" s="465"/>
      <c r="W83" s="465"/>
      <c r="X83" s="465"/>
      <c r="Y83" s="465"/>
      <c r="Z83" s="465"/>
      <c r="AA83" s="465"/>
      <c r="AB83" s="465"/>
      <c r="AC83" s="465"/>
      <c r="AD83" s="465"/>
      <c r="AE83" s="465"/>
      <c r="AF83" s="465"/>
      <c r="AG83" s="465"/>
      <c r="AH83" s="465"/>
    </row>
    <row r="84" spans="1:34" ht="12.75" x14ac:dyDescent="0.2">
      <c r="A84" s="298"/>
      <c r="B84" s="302" t="s">
        <v>269</v>
      </c>
      <c r="C84" s="465" t="s">
        <v>12</v>
      </c>
      <c r="D84" s="465" t="s">
        <v>14</v>
      </c>
      <c r="E84" s="465" t="s">
        <v>14</v>
      </c>
      <c r="F84" s="465" t="s">
        <v>15</v>
      </c>
      <c r="G84" s="465" t="s">
        <v>16</v>
      </c>
      <c r="H84" s="465" t="s">
        <v>17</v>
      </c>
      <c r="I84" s="465" t="s">
        <v>18</v>
      </c>
      <c r="J84" s="465" t="s">
        <v>19</v>
      </c>
      <c r="K84" s="465" t="s">
        <v>20</v>
      </c>
      <c r="L84" s="465" t="s">
        <v>35</v>
      </c>
      <c r="M84" s="465" t="s">
        <v>210</v>
      </c>
      <c r="N84" s="465" t="s">
        <v>211</v>
      </c>
      <c r="O84" s="465" t="s">
        <v>45</v>
      </c>
      <c r="P84" s="465" t="s">
        <v>213</v>
      </c>
      <c r="Q84" s="465" t="s">
        <v>213</v>
      </c>
      <c r="R84" s="465" t="s">
        <v>725</v>
      </c>
      <c r="S84" s="465" t="s">
        <v>53</v>
      </c>
      <c r="T84" s="465" t="s">
        <v>737</v>
      </c>
      <c r="U84" s="465" t="s">
        <v>214</v>
      </c>
      <c r="V84" s="465" t="s">
        <v>740</v>
      </c>
      <c r="W84" s="465" t="s">
        <v>247</v>
      </c>
      <c r="X84" s="465" t="s">
        <v>744</v>
      </c>
      <c r="Y84" s="465" t="s">
        <v>744</v>
      </c>
      <c r="Z84" s="465" t="s">
        <v>746</v>
      </c>
      <c r="AA84" s="465" t="s">
        <v>259</v>
      </c>
      <c r="AB84" s="465" t="s">
        <v>751</v>
      </c>
      <c r="AC84" s="465" t="s">
        <v>751</v>
      </c>
      <c r="AD84" s="465" t="s">
        <v>887</v>
      </c>
      <c r="AE84" s="465" t="s">
        <v>265</v>
      </c>
      <c r="AF84" s="465" t="s">
        <v>889</v>
      </c>
      <c r="AG84" s="465" t="s">
        <v>890</v>
      </c>
      <c r="AH84" s="465" t="s">
        <v>891</v>
      </c>
    </row>
    <row r="85" spans="1:34" ht="12.75" x14ac:dyDescent="0.2">
      <c r="A85" s="298"/>
      <c r="B85" s="303" t="s">
        <v>250</v>
      </c>
      <c r="C85" s="466">
        <f t="shared" ref="C85:AH85" si="29">((2^(1/12))^(C2+11-49))*440</f>
        <v>369.99442271163434</v>
      </c>
      <c r="D85" s="466">
        <f t="shared" si="29"/>
        <v>391.99543598174927</v>
      </c>
      <c r="E85" s="466">
        <f t="shared" si="29"/>
        <v>415.30469757994513</v>
      </c>
      <c r="F85" s="466">
        <f t="shared" si="29"/>
        <v>440</v>
      </c>
      <c r="G85" s="466">
        <f t="shared" si="29"/>
        <v>466.16376151808993</v>
      </c>
      <c r="H85" s="466">
        <f t="shared" si="29"/>
        <v>493.88330125612413</v>
      </c>
      <c r="I85" s="466">
        <f t="shared" si="29"/>
        <v>523.25113060119736</v>
      </c>
      <c r="J85" s="466">
        <f t="shared" si="29"/>
        <v>554.36526195374415</v>
      </c>
      <c r="K85" s="466">
        <f t="shared" si="29"/>
        <v>587.32953583481515</v>
      </c>
      <c r="L85" s="466">
        <f t="shared" si="29"/>
        <v>622.25396744416184</v>
      </c>
      <c r="M85" s="466">
        <f t="shared" si="29"/>
        <v>659.25511382573995</v>
      </c>
      <c r="N85" s="466">
        <f t="shared" si="29"/>
        <v>698.45646286600777</v>
      </c>
      <c r="O85" s="466">
        <f t="shared" si="29"/>
        <v>739.98884542326891</v>
      </c>
      <c r="P85" s="466">
        <f t="shared" si="29"/>
        <v>783.99087196349865</v>
      </c>
      <c r="Q85" s="466">
        <f t="shared" si="29"/>
        <v>830.60939515989048</v>
      </c>
      <c r="R85" s="466">
        <f t="shared" si="29"/>
        <v>880</v>
      </c>
      <c r="S85" s="466">
        <f t="shared" si="29"/>
        <v>932.32752303617985</v>
      </c>
      <c r="T85" s="466">
        <f t="shared" si="29"/>
        <v>987.76660251224848</v>
      </c>
      <c r="U85" s="466">
        <f t="shared" si="29"/>
        <v>1046.5022612023947</v>
      </c>
      <c r="V85" s="466">
        <f t="shared" si="29"/>
        <v>1108.7305239074885</v>
      </c>
      <c r="W85" s="466">
        <f t="shared" si="29"/>
        <v>1174.6590716696305</v>
      </c>
      <c r="X85" s="466">
        <f t="shared" si="29"/>
        <v>1244.5079348883239</v>
      </c>
      <c r="Y85" s="466">
        <f t="shared" si="29"/>
        <v>1318.5102276514801</v>
      </c>
      <c r="Z85" s="466">
        <f t="shared" si="29"/>
        <v>1396.9129257320158</v>
      </c>
      <c r="AA85" s="466">
        <f t="shared" si="29"/>
        <v>1479.9776908465378</v>
      </c>
      <c r="AB85" s="466">
        <f t="shared" si="29"/>
        <v>1567.9817439269975</v>
      </c>
      <c r="AC85" s="466">
        <f t="shared" si="29"/>
        <v>1661.2187903197812</v>
      </c>
      <c r="AD85" s="466">
        <f t="shared" si="29"/>
        <v>1760.0000000000005</v>
      </c>
      <c r="AE85" s="466">
        <f t="shared" si="29"/>
        <v>1864.6550460723602</v>
      </c>
      <c r="AF85" s="466">
        <f t="shared" si="29"/>
        <v>1975.533205024497</v>
      </c>
      <c r="AG85" s="466">
        <f t="shared" si="29"/>
        <v>2093.0045224047904</v>
      </c>
      <c r="AH85" s="466">
        <f t="shared" si="29"/>
        <v>2217.4610478149771</v>
      </c>
    </row>
    <row r="86" spans="1:34" ht="12.75" x14ac:dyDescent="0.2">
      <c r="A86" s="298"/>
      <c r="B86" s="249" t="s">
        <v>251</v>
      </c>
      <c r="C86" s="465"/>
      <c r="D86" s="465"/>
      <c r="E86" s="465"/>
      <c r="F86" s="465"/>
      <c r="G86" s="465"/>
      <c r="H86" s="465"/>
      <c r="I86" s="465"/>
      <c r="J86" s="465"/>
      <c r="K86" s="465"/>
      <c r="L86" s="465"/>
      <c r="M86" s="465"/>
      <c r="N86" s="465"/>
      <c r="O86" s="465"/>
      <c r="P86" s="465"/>
      <c r="Q86" s="465"/>
      <c r="R86" s="465"/>
      <c r="S86" s="465"/>
      <c r="T86" s="465"/>
      <c r="U86" s="465"/>
      <c r="V86" s="465"/>
      <c r="W86" s="465"/>
      <c r="X86" s="465"/>
      <c r="Y86" s="465"/>
      <c r="Z86" s="465"/>
      <c r="AA86" s="465"/>
      <c r="AB86" s="465"/>
      <c r="AC86" s="465"/>
      <c r="AD86" s="465"/>
      <c r="AE86" s="465"/>
      <c r="AF86" s="465"/>
      <c r="AG86" s="465"/>
      <c r="AH86" s="465"/>
    </row>
    <row r="87" spans="1:34" ht="12.75" x14ac:dyDescent="0.2">
      <c r="A87" s="298"/>
      <c r="B87" s="249" t="s">
        <v>252</v>
      </c>
      <c r="C87" s="465"/>
      <c r="D87" s="465"/>
      <c r="E87" s="465"/>
      <c r="F87" s="465"/>
      <c r="G87" s="465"/>
      <c r="H87" s="465"/>
      <c r="I87" s="465"/>
      <c r="J87" s="465"/>
      <c r="K87" s="465"/>
      <c r="L87" s="465"/>
      <c r="M87" s="465"/>
      <c r="N87" s="465"/>
      <c r="O87" s="465"/>
      <c r="P87" s="465"/>
      <c r="Q87" s="465"/>
      <c r="R87" s="465"/>
      <c r="S87" s="465"/>
      <c r="T87" s="465"/>
      <c r="U87" s="465"/>
      <c r="V87" s="465"/>
      <c r="W87" s="465"/>
      <c r="X87" s="465"/>
      <c r="Y87" s="465"/>
      <c r="Z87" s="465"/>
      <c r="AA87" s="465"/>
      <c r="AB87" s="465"/>
      <c r="AC87" s="465"/>
      <c r="AD87" s="465"/>
      <c r="AE87" s="465"/>
      <c r="AF87" s="465"/>
      <c r="AG87" s="465"/>
      <c r="AH87" s="465"/>
    </row>
    <row r="88" spans="1:34" ht="12.75" x14ac:dyDescent="0.2">
      <c r="A88" s="298"/>
      <c r="B88" s="249" t="s">
        <v>277</v>
      </c>
      <c r="C88" s="465" t="s">
        <v>13</v>
      </c>
      <c r="D88" s="465" t="s">
        <v>15</v>
      </c>
      <c r="E88" s="465" t="s">
        <v>15</v>
      </c>
      <c r="F88" s="465" t="s">
        <v>16</v>
      </c>
      <c r="G88" s="465" t="s">
        <v>17</v>
      </c>
      <c r="H88" s="465" t="s">
        <v>18</v>
      </c>
      <c r="I88" s="465" t="s">
        <v>19</v>
      </c>
      <c r="J88" s="465" t="s">
        <v>20</v>
      </c>
      <c r="K88" s="465" t="s">
        <v>35</v>
      </c>
      <c r="L88" s="465" t="s">
        <v>210</v>
      </c>
      <c r="M88" s="465" t="s">
        <v>211</v>
      </c>
      <c r="N88" s="465" t="s">
        <v>45</v>
      </c>
      <c r="O88" s="465" t="s">
        <v>212</v>
      </c>
      <c r="P88" s="465" t="s">
        <v>725</v>
      </c>
      <c r="Q88" s="465" t="s">
        <v>725</v>
      </c>
      <c r="R88" s="465" t="s">
        <v>53</v>
      </c>
      <c r="S88" s="465" t="s">
        <v>734</v>
      </c>
      <c r="T88" s="465" t="s">
        <v>214</v>
      </c>
      <c r="U88" s="465" t="s">
        <v>740</v>
      </c>
      <c r="V88" s="465" t="s">
        <v>247</v>
      </c>
      <c r="W88" s="465" t="s">
        <v>744</v>
      </c>
      <c r="X88" s="465" t="s">
        <v>746</v>
      </c>
      <c r="Y88" s="465" t="s">
        <v>746</v>
      </c>
      <c r="Z88" s="465" t="s">
        <v>259</v>
      </c>
      <c r="AA88" s="465" t="s">
        <v>749</v>
      </c>
      <c r="AB88" s="465" t="s">
        <v>887</v>
      </c>
      <c r="AC88" s="465" t="s">
        <v>887</v>
      </c>
      <c r="AD88" s="465" t="s">
        <v>265</v>
      </c>
      <c r="AE88" s="465" t="s">
        <v>888</v>
      </c>
      <c r="AF88" s="465" t="s">
        <v>890</v>
      </c>
      <c r="AG88" s="465" t="s">
        <v>891</v>
      </c>
      <c r="AH88" s="465" t="s">
        <v>892</v>
      </c>
    </row>
    <row r="89" spans="1:34" ht="12.75" x14ac:dyDescent="0.2">
      <c r="A89" s="298"/>
      <c r="B89" s="303" t="s">
        <v>250</v>
      </c>
      <c r="C89" s="466">
        <f t="shared" ref="C89:AH89" si="30">((2^(1/12))^(C2+12-49))*440</f>
        <v>391.99543598174927</v>
      </c>
      <c r="D89" s="466">
        <f t="shared" si="30"/>
        <v>415.30469757994513</v>
      </c>
      <c r="E89" s="466">
        <f t="shared" si="30"/>
        <v>440</v>
      </c>
      <c r="F89" s="466">
        <f t="shared" si="30"/>
        <v>466.16376151808993</v>
      </c>
      <c r="G89" s="466">
        <f t="shared" si="30"/>
        <v>493.88330125612413</v>
      </c>
      <c r="H89" s="466">
        <f t="shared" si="30"/>
        <v>523.25113060119736</v>
      </c>
      <c r="I89" s="466">
        <f t="shared" si="30"/>
        <v>554.36526195374415</v>
      </c>
      <c r="J89" s="466">
        <f t="shared" si="30"/>
        <v>587.32953583481515</v>
      </c>
      <c r="K89" s="466">
        <f t="shared" si="30"/>
        <v>622.25396744416184</v>
      </c>
      <c r="L89" s="466">
        <f t="shared" si="30"/>
        <v>659.25511382573995</v>
      </c>
      <c r="M89" s="466">
        <f t="shared" si="30"/>
        <v>698.45646286600777</v>
      </c>
      <c r="N89" s="466">
        <f t="shared" si="30"/>
        <v>739.98884542326891</v>
      </c>
      <c r="O89" s="466">
        <f t="shared" si="30"/>
        <v>783.99087196349865</v>
      </c>
      <c r="P89" s="466">
        <f t="shared" si="30"/>
        <v>830.60939515989048</v>
      </c>
      <c r="Q89" s="466">
        <f t="shared" si="30"/>
        <v>880</v>
      </c>
      <c r="R89" s="466">
        <f t="shared" si="30"/>
        <v>932.32752303617985</v>
      </c>
      <c r="S89" s="466">
        <f t="shared" si="30"/>
        <v>987.76660251224848</v>
      </c>
      <c r="T89" s="466">
        <f t="shared" si="30"/>
        <v>1046.5022612023947</v>
      </c>
      <c r="U89" s="466">
        <f t="shared" si="30"/>
        <v>1108.7305239074885</v>
      </c>
      <c r="V89" s="466">
        <f t="shared" si="30"/>
        <v>1174.6590716696305</v>
      </c>
      <c r="W89" s="466">
        <f t="shared" si="30"/>
        <v>1244.5079348883239</v>
      </c>
      <c r="X89" s="466">
        <f t="shared" si="30"/>
        <v>1318.5102276514801</v>
      </c>
      <c r="Y89" s="466">
        <f t="shared" si="30"/>
        <v>1396.9129257320158</v>
      </c>
      <c r="Z89" s="466">
        <f t="shared" si="30"/>
        <v>1479.9776908465378</v>
      </c>
      <c r="AA89" s="466">
        <f t="shared" si="30"/>
        <v>1567.9817439269975</v>
      </c>
      <c r="AB89" s="466">
        <f t="shared" si="30"/>
        <v>1661.2187903197812</v>
      </c>
      <c r="AC89" s="466">
        <f t="shared" si="30"/>
        <v>1760.0000000000005</v>
      </c>
      <c r="AD89" s="466">
        <f t="shared" si="30"/>
        <v>1864.6550460723602</v>
      </c>
      <c r="AE89" s="466">
        <f t="shared" si="30"/>
        <v>1975.533205024497</v>
      </c>
      <c r="AF89" s="466">
        <f t="shared" si="30"/>
        <v>2093.0045224047904</v>
      </c>
      <c r="AG89" s="466">
        <f t="shared" si="30"/>
        <v>2217.4610478149771</v>
      </c>
      <c r="AH89" s="466">
        <f t="shared" si="30"/>
        <v>2349.318143339261</v>
      </c>
    </row>
    <row r="90" spans="1:34" ht="12.75" x14ac:dyDescent="0.2">
      <c r="A90" s="298"/>
      <c r="B90" s="249" t="s">
        <v>251</v>
      </c>
      <c r="C90" s="465"/>
      <c r="D90" s="465"/>
      <c r="E90" s="465"/>
      <c r="F90" s="465"/>
      <c r="G90" s="465"/>
      <c r="H90" s="465"/>
      <c r="I90" s="465"/>
      <c r="J90" s="465"/>
      <c r="K90" s="465"/>
      <c r="L90" s="465"/>
      <c r="M90" s="465"/>
      <c r="N90" s="465"/>
      <c r="O90" s="465"/>
      <c r="P90" s="465"/>
      <c r="Q90" s="465"/>
      <c r="R90" s="465"/>
      <c r="S90" s="465"/>
      <c r="T90" s="465"/>
      <c r="U90" s="465"/>
      <c r="V90" s="465"/>
      <c r="W90" s="465"/>
      <c r="X90" s="465"/>
      <c r="Y90" s="465"/>
      <c r="Z90" s="465"/>
      <c r="AA90" s="465"/>
      <c r="AB90" s="465"/>
      <c r="AC90" s="465"/>
      <c r="AD90" s="465"/>
      <c r="AE90" s="465"/>
      <c r="AF90" s="465"/>
      <c r="AG90" s="465"/>
      <c r="AH90" s="465"/>
    </row>
    <row r="91" spans="1:34" ht="12.75" x14ac:dyDescent="0.2">
      <c r="A91" s="298"/>
      <c r="B91" s="249" t="s">
        <v>252</v>
      </c>
      <c r="C91" s="465"/>
      <c r="D91" s="465"/>
      <c r="E91" s="465"/>
      <c r="F91" s="465"/>
      <c r="G91" s="465"/>
      <c r="H91" s="465"/>
      <c r="I91" s="465"/>
      <c r="J91" s="465"/>
      <c r="K91" s="465"/>
      <c r="L91" s="465"/>
      <c r="M91" s="465"/>
      <c r="N91" s="465"/>
      <c r="O91" s="465"/>
      <c r="P91" s="465"/>
      <c r="Q91" s="465"/>
      <c r="R91" s="465"/>
      <c r="S91" s="465"/>
      <c r="T91" s="465"/>
      <c r="U91" s="465"/>
      <c r="V91" s="465"/>
      <c r="W91" s="465"/>
      <c r="X91" s="465"/>
      <c r="Y91" s="465"/>
      <c r="Z91" s="465"/>
      <c r="AA91" s="465"/>
      <c r="AB91" s="465"/>
      <c r="AC91" s="465"/>
      <c r="AD91" s="465"/>
      <c r="AE91" s="465"/>
      <c r="AF91" s="465"/>
      <c r="AG91" s="465"/>
      <c r="AH91" s="465"/>
    </row>
    <row r="94" spans="1:34" ht="15" customHeight="1" x14ac:dyDescent="0.25">
      <c r="A94" s="833" t="s">
        <v>7098</v>
      </c>
    </row>
    <row r="95" spans="1:34" ht="15" customHeight="1" x14ac:dyDescent="0.2">
      <c r="A95" s="734" t="s">
        <v>7099</v>
      </c>
    </row>
    <row r="97" spans="1:1" ht="15" customHeight="1" x14ac:dyDescent="0.2">
      <c r="A97" s="609" t="s">
        <v>7088</v>
      </c>
    </row>
    <row r="98" spans="1:1" ht="15" customHeight="1" x14ac:dyDescent="0.2">
      <c r="A98" t="s">
        <v>7100</v>
      </c>
    </row>
    <row r="100" spans="1:1" ht="15" customHeight="1" x14ac:dyDescent="0.2">
      <c r="A100" s="609" t="s">
        <v>7101</v>
      </c>
    </row>
    <row r="101" spans="1:1" ht="15" customHeight="1" x14ac:dyDescent="0.2">
      <c r="A101" t="s">
        <v>7102</v>
      </c>
    </row>
    <row r="102" spans="1:1" ht="15" customHeight="1" x14ac:dyDescent="0.2">
      <c r="A102" t="s">
        <v>7103</v>
      </c>
    </row>
    <row r="104" spans="1:1" ht="15" customHeight="1" x14ac:dyDescent="0.2">
      <c r="A104" s="609" t="s">
        <v>7104</v>
      </c>
    </row>
    <row r="105" spans="1:1" ht="15" customHeight="1" x14ac:dyDescent="0.2">
      <c r="A105" t="s">
        <v>7105</v>
      </c>
    </row>
    <row r="106" spans="1:1" ht="15" customHeight="1" x14ac:dyDescent="0.2">
      <c r="A106" t="s">
        <v>7106</v>
      </c>
    </row>
    <row r="108" spans="1:1" ht="15" customHeight="1" x14ac:dyDescent="0.2">
      <c r="A108" s="609" t="s">
        <v>7107</v>
      </c>
    </row>
    <row r="109" spans="1:1" ht="15" customHeight="1" x14ac:dyDescent="0.2">
      <c r="A109" t="s">
        <v>7108</v>
      </c>
    </row>
    <row r="111" spans="1:1" ht="15" customHeight="1" x14ac:dyDescent="0.2">
      <c r="A111" s="609" t="s">
        <v>7109</v>
      </c>
    </row>
    <row r="112" spans="1:1" ht="15" customHeight="1" x14ac:dyDescent="0.2">
      <c r="A112" t="s">
        <v>7110</v>
      </c>
    </row>
    <row r="117" spans="1:1" ht="15" customHeight="1" x14ac:dyDescent="0.25">
      <c r="A117" s="838" t="s">
        <v>7460</v>
      </c>
    </row>
    <row r="118" spans="1:1" ht="15" customHeight="1" x14ac:dyDescent="0.2">
      <c r="A118" s="734" t="s">
        <v>7461</v>
      </c>
    </row>
    <row r="120" spans="1:1" ht="15" customHeight="1" x14ac:dyDescent="0.2">
      <c r="A120" s="839" t="s">
        <v>7327</v>
      </c>
    </row>
    <row r="121" spans="1:1" ht="15" customHeight="1" x14ac:dyDescent="0.2">
      <c r="A121" s="842" t="s">
        <v>7462</v>
      </c>
    </row>
    <row r="122" spans="1:1" ht="15" customHeight="1" x14ac:dyDescent="0.2">
      <c r="A122" t="s">
        <v>7463</v>
      </c>
    </row>
    <row r="123" spans="1:1" ht="15" customHeight="1" x14ac:dyDescent="0.2">
      <c r="A123" t="s">
        <v>7464</v>
      </c>
    </row>
    <row r="125" spans="1:1" ht="15" customHeight="1" x14ac:dyDescent="0.2">
      <c r="A125" s="839" t="s">
        <v>7465</v>
      </c>
    </row>
    <row r="126" spans="1:1" ht="15" customHeight="1" x14ac:dyDescent="0.2">
      <c r="A126" s="842" t="s">
        <v>7466</v>
      </c>
    </row>
    <row r="127" spans="1:1" ht="15" customHeight="1" x14ac:dyDescent="0.2">
      <c r="A127" t="s">
        <v>7467</v>
      </c>
    </row>
    <row r="129" spans="1:1" ht="15" customHeight="1" x14ac:dyDescent="0.2">
      <c r="A129" s="839" t="s">
        <v>7468</v>
      </c>
    </row>
    <row r="130" spans="1:1" ht="15" customHeight="1" x14ac:dyDescent="0.2">
      <c r="A130" t="s">
        <v>7469</v>
      </c>
    </row>
  </sheetData>
  <printOptions horizontalCentered="1" gridLines="1"/>
  <pageMargins left="0.7" right="0.7" top="0.75" bottom="0.75" header="0" footer="0"/>
  <pageSetup pageOrder="overThenDown" orientation="portrait" cellComments="atEnd"/>
  <rowBreaks count="2" manualBreakCount="2">
    <brk man="1"/>
    <brk id="59" man="1"/>
  </rowBreaks>
  <colBreaks count="3" manualBreakCount="3">
    <brk id="1" man="1"/>
    <brk id="22" man="1"/>
    <brk id="9" man="1"/>
  </colBreak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5A509-3561-4175-8C3B-02DCCFAB6C67}">
  <dimension ref="A1:I148"/>
  <sheetViews>
    <sheetView workbookViewId="0">
      <pane ySplit="3" topLeftCell="A4" activePane="bottomLeft" state="frozen"/>
      <selection pane="bottomLeft"/>
    </sheetView>
  </sheetViews>
  <sheetFormatPr defaultRowHeight="12.75" x14ac:dyDescent="0.2"/>
  <cols>
    <col min="1" max="1" width="137.140625" customWidth="1"/>
    <col min="2" max="2" width="30.42578125" customWidth="1"/>
    <col min="3" max="3" width="22.85546875" customWidth="1"/>
    <col min="4" max="4" width="26.7109375" customWidth="1"/>
    <col min="5" max="5" width="38.140625" customWidth="1"/>
    <col min="6" max="6" width="22.85546875" customWidth="1"/>
    <col min="7" max="7" width="17.140625" customWidth="1"/>
    <col min="8" max="8" width="19" customWidth="1"/>
    <col min="9" max="9" width="15.28515625" customWidth="1"/>
  </cols>
  <sheetData>
    <row r="1" spans="1:7" ht="18" x14ac:dyDescent="0.25">
      <c r="A1" s="470" t="s">
        <v>4170</v>
      </c>
    </row>
    <row r="2" spans="1:7" x14ac:dyDescent="0.2">
      <c r="A2" s="734" t="s">
        <v>4171</v>
      </c>
    </row>
    <row r="4" spans="1:7" ht="15" x14ac:dyDescent="0.25">
      <c r="A4" s="735" t="s">
        <v>1443</v>
      </c>
      <c r="B4" s="736"/>
      <c r="C4" s="736"/>
      <c r="D4" s="736"/>
    </row>
    <row r="5" spans="1:7" x14ac:dyDescent="0.2">
      <c r="A5" t="s">
        <v>3936</v>
      </c>
      <c r="B5" s="565">
        <v>12</v>
      </c>
      <c r="C5" t="s">
        <v>4172</v>
      </c>
    </row>
    <row r="6" spans="1:7" x14ac:dyDescent="0.2">
      <c r="A6" t="s">
        <v>3938</v>
      </c>
      <c r="B6" s="565">
        <v>6</v>
      </c>
      <c r="C6" t="s">
        <v>4173</v>
      </c>
    </row>
    <row r="7" spans="1:7" x14ac:dyDescent="0.2">
      <c r="A7" t="s">
        <v>4174</v>
      </c>
      <c r="B7" s="596">
        <v>7.9000000000000001E-2</v>
      </c>
      <c r="C7" t="s">
        <v>4175</v>
      </c>
    </row>
    <row r="8" spans="1:7" x14ac:dyDescent="0.2">
      <c r="A8" t="s">
        <v>4176</v>
      </c>
      <c r="B8" s="596">
        <v>0.04</v>
      </c>
      <c r="C8" t="s">
        <v>4177</v>
      </c>
    </row>
    <row r="9" spans="1:7" x14ac:dyDescent="0.2">
      <c r="A9" t="s">
        <v>3737</v>
      </c>
      <c r="B9" s="737">
        <v>11</v>
      </c>
      <c r="C9" t="s">
        <v>4178</v>
      </c>
    </row>
    <row r="10" spans="1:7" x14ac:dyDescent="0.2">
      <c r="A10" t="s">
        <v>1266</v>
      </c>
      <c r="B10" s="596">
        <v>1</v>
      </c>
      <c r="C10" t="s">
        <v>4179</v>
      </c>
    </row>
    <row r="11" spans="1:7" x14ac:dyDescent="0.2">
      <c r="A11" t="s">
        <v>4180</v>
      </c>
      <c r="B11" s="564" t="s">
        <v>4181</v>
      </c>
      <c r="C11" t="s">
        <v>4182</v>
      </c>
    </row>
    <row r="12" spans="1:7" x14ac:dyDescent="0.2">
      <c r="A12" t="s">
        <v>4183</v>
      </c>
      <c r="B12" s="565">
        <v>2.5</v>
      </c>
      <c r="C12" t="s">
        <v>4184</v>
      </c>
    </row>
    <row r="13" spans="1:7" x14ac:dyDescent="0.2">
      <c r="A13" t="s">
        <v>4185</v>
      </c>
      <c r="B13" s="737">
        <v>440</v>
      </c>
    </row>
    <row r="14" spans="1:7" x14ac:dyDescent="0.2">
      <c r="A14" t="s">
        <v>4186</v>
      </c>
      <c r="B14" s="564" t="s">
        <v>3953</v>
      </c>
      <c r="C14" t="s">
        <v>4187</v>
      </c>
    </row>
    <row r="16" spans="1:7" ht="15" x14ac:dyDescent="0.25">
      <c r="A16" s="738" t="s">
        <v>4188</v>
      </c>
      <c r="B16" s="739"/>
      <c r="C16" s="739"/>
      <c r="D16" s="739"/>
      <c r="E16" s="739"/>
      <c r="F16" s="739"/>
      <c r="G16" s="739"/>
    </row>
    <row r="17" spans="1:7" x14ac:dyDescent="0.2">
      <c r="A17" s="484" t="s">
        <v>4180</v>
      </c>
      <c r="B17" s="484" t="s">
        <v>1243</v>
      </c>
      <c r="C17" s="484" t="s">
        <v>1244</v>
      </c>
      <c r="D17" s="484" t="s">
        <v>1245</v>
      </c>
      <c r="E17" s="484" t="s">
        <v>4189</v>
      </c>
      <c r="F17" s="484" t="s">
        <v>4190</v>
      </c>
      <c r="G17" s="484" t="s">
        <v>4191</v>
      </c>
    </row>
    <row r="18" spans="1:7" x14ac:dyDescent="0.2">
      <c r="A18" t="s">
        <v>4192</v>
      </c>
      <c r="B18">
        <v>200</v>
      </c>
      <c r="C18">
        <v>7850</v>
      </c>
      <c r="D18" s="662">
        <v>32098</v>
      </c>
      <c r="E18" t="s">
        <v>4193</v>
      </c>
      <c r="F18" t="s">
        <v>4194</v>
      </c>
      <c r="G18" t="s">
        <v>4195</v>
      </c>
    </row>
    <row r="19" spans="1:7" x14ac:dyDescent="0.2">
      <c r="A19" t="s">
        <v>4196</v>
      </c>
      <c r="B19">
        <v>193</v>
      </c>
      <c r="C19">
        <v>8000</v>
      </c>
      <c r="D19" s="662">
        <v>31234</v>
      </c>
      <c r="E19" t="s">
        <v>4197</v>
      </c>
      <c r="F19" t="s">
        <v>3539</v>
      </c>
      <c r="G19" t="s">
        <v>4198</v>
      </c>
    </row>
    <row r="20" spans="1:7" x14ac:dyDescent="0.2">
      <c r="A20" t="s">
        <v>4199</v>
      </c>
      <c r="B20">
        <v>200</v>
      </c>
      <c r="C20">
        <v>7700</v>
      </c>
      <c r="D20" s="662">
        <v>32409</v>
      </c>
      <c r="E20" t="s">
        <v>4200</v>
      </c>
      <c r="F20" t="s">
        <v>3539</v>
      </c>
      <c r="G20" t="s">
        <v>4201</v>
      </c>
    </row>
    <row r="21" spans="1:7" x14ac:dyDescent="0.2">
      <c r="A21" t="s">
        <v>4202</v>
      </c>
      <c r="B21">
        <v>210</v>
      </c>
      <c r="C21">
        <v>7850</v>
      </c>
      <c r="D21" s="662">
        <v>32891</v>
      </c>
      <c r="E21" t="s">
        <v>4203</v>
      </c>
      <c r="F21" t="s">
        <v>4194</v>
      </c>
      <c r="G21" t="s">
        <v>4204</v>
      </c>
    </row>
    <row r="22" spans="1:7" x14ac:dyDescent="0.2">
      <c r="A22" t="s">
        <v>4205</v>
      </c>
      <c r="B22">
        <v>200</v>
      </c>
      <c r="C22">
        <v>7850</v>
      </c>
      <c r="D22" s="662">
        <v>32098</v>
      </c>
      <c r="E22" t="s">
        <v>4206</v>
      </c>
      <c r="F22" t="s">
        <v>4207</v>
      </c>
      <c r="G22" t="s">
        <v>4208</v>
      </c>
    </row>
    <row r="23" spans="1:7" x14ac:dyDescent="0.2">
      <c r="A23" s="734" t="s">
        <v>4209</v>
      </c>
    </row>
    <row r="24" spans="1:7" x14ac:dyDescent="0.2">
      <c r="A24" s="472" t="s">
        <v>4210</v>
      </c>
      <c r="B24" s="769">
        <v>32098</v>
      </c>
    </row>
    <row r="26" spans="1:7" ht="15" x14ac:dyDescent="0.25">
      <c r="A26" s="743" t="s">
        <v>4211</v>
      </c>
      <c r="B26" s="744"/>
      <c r="C26" s="744"/>
      <c r="D26" s="744"/>
    </row>
    <row r="27" spans="1:7" x14ac:dyDescent="0.2">
      <c r="A27" t="s">
        <v>4212</v>
      </c>
      <c r="B27" s="481">
        <f>PI()*(B5/2)^2*(B6/2)*(2/3)</f>
        <v>226.19467105846508</v>
      </c>
    </row>
    <row r="28" spans="1:7" x14ac:dyDescent="0.2">
      <c r="A28" t="s">
        <v>4213</v>
      </c>
      <c r="B28" s="482">
        <f>PI()*(B12/2)^2</f>
        <v>4.908738521234052</v>
      </c>
    </row>
    <row r="29" spans="1:7" x14ac:dyDescent="0.2">
      <c r="A29" t="s">
        <v>4214</v>
      </c>
      <c r="B29" s="482">
        <f>B7+0.85*SQRT(B28/PI())</f>
        <v>1.1415</v>
      </c>
    </row>
    <row r="30" spans="1:7" x14ac:dyDescent="0.2">
      <c r="A30" t="s">
        <v>4215</v>
      </c>
      <c r="B30" s="707">
        <f>(13552/(2*PI()))*SQRT(B28/(B27*B29))</f>
        <v>297.39203417891321</v>
      </c>
    </row>
    <row r="31" spans="1:7" x14ac:dyDescent="0.2">
      <c r="A31" t="s">
        <v>3963</v>
      </c>
      <c r="B31" s="472" t="str">
        <f>CHOOSE(MOD(ROUND(12*LOG(B30/B13,2)+69,0),12)+1,"C","C#","D","D#","E","F","F#","G","G#","A","A#","B")&amp;INT((ROUND(12*LOG(B30/B13,2)+69,0))/12-1)</f>
        <v>D4</v>
      </c>
    </row>
    <row r="32" spans="1:7" x14ac:dyDescent="0.2">
      <c r="A32" s="734" t="s">
        <v>4216</v>
      </c>
    </row>
    <row r="34" spans="1:9" ht="15" x14ac:dyDescent="0.25">
      <c r="A34" s="743" t="s">
        <v>4217</v>
      </c>
      <c r="B34" s="744"/>
      <c r="C34" s="744"/>
      <c r="D34" s="744"/>
      <c r="E34" s="744"/>
      <c r="F34" s="744"/>
    </row>
    <row r="35" spans="1:9" x14ac:dyDescent="0.2">
      <c r="A35" s="486" t="s">
        <v>994</v>
      </c>
      <c r="B35" s="486" t="s">
        <v>4218</v>
      </c>
      <c r="C35" s="486" t="s">
        <v>3970</v>
      </c>
    </row>
    <row r="36" spans="1:9" x14ac:dyDescent="0.2">
      <c r="A36" t="s">
        <v>4219</v>
      </c>
      <c r="B36" t="s">
        <v>4220</v>
      </c>
      <c r="C36" t="s">
        <v>3972</v>
      </c>
    </row>
    <row r="37" spans="1:9" x14ac:dyDescent="0.2">
      <c r="A37" t="s">
        <v>3973</v>
      </c>
      <c r="B37" t="s">
        <v>4221</v>
      </c>
      <c r="C37" t="s">
        <v>3974</v>
      </c>
    </row>
    <row r="38" spans="1:9" x14ac:dyDescent="0.2">
      <c r="A38" t="s">
        <v>4222</v>
      </c>
      <c r="B38" t="s">
        <v>4223</v>
      </c>
      <c r="C38" t="s">
        <v>4224</v>
      </c>
    </row>
    <row r="39" spans="1:9" x14ac:dyDescent="0.2">
      <c r="A39" t="s">
        <v>4225</v>
      </c>
      <c r="B39" t="s">
        <v>4226</v>
      </c>
      <c r="C39" t="s">
        <v>4227</v>
      </c>
    </row>
    <row r="40" spans="1:9" x14ac:dyDescent="0.2">
      <c r="A40" t="s">
        <v>3975</v>
      </c>
      <c r="B40" t="s">
        <v>4228</v>
      </c>
      <c r="C40" t="s">
        <v>3976</v>
      </c>
    </row>
    <row r="41" spans="1:9" x14ac:dyDescent="0.2">
      <c r="A41" t="s">
        <v>3977</v>
      </c>
      <c r="B41" t="s">
        <v>4229</v>
      </c>
      <c r="C41" t="s">
        <v>3978</v>
      </c>
    </row>
    <row r="42" spans="1:9" x14ac:dyDescent="0.2">
      <c r="A42" t="s">
        <v>4230</v>
      </c>
      <c r="B42" t="s">
        <v>4231</v>
      </c>
      <c r="C42" t="s">
        <v>4232</v>
      </c>
    </row>
    <row r="43" spans="1:9" x14ac:dyDescent="0.2">
      <c r="A43" t="s">
        <v>4233</v>
      </c>
      <c r="B43" t="s">
        <v>4234</v>
      </c>
      <c r="C43" t="s">
        <v>4235</v>
      </c>
    </row>
    <row r="45" spans="1:9" ht="15" x14ac:dyDescent="0.25">
      <c r="A45" s="764" t="s">
        <v>4236</v>
      </c>
      <c r="B45" s="765"/>
      <c r="C45" s="765"/>
      <c r="D45" s="765"/>
      <c r="E45" s="765"/>
      <c r="F45" s="765"/>
      <c r="G45" s="765"/>
      <c r="H45" s="765"/>
      <c r="I45" s="765"/>
    </row>
    <row r="46" spans="1:9" x14ac:dyDescent="0.2">
      <c r="A46" s="734" t="s">
        <v>4237</v>
      </c>
    </row>
    <row r="47" spans="1:9" x14ac:dyDescent="0.2">
      <c r="A47" s="713" t="s">
        <v>610</v>
      </c>
      <c r="B47" s="713" t="s">
        <v>785</v>
      </c>
      <c r="C47" s="713" t="s">
        <v>1272</v>
      </c>
      <c r="D47" s="713" t="s">
        <v>1368</v>
      </c>
      <c r="E47" s="713" t="s">
        <v>1273</v>
      </c>
      <c r="F47" s="713" t="s">
        <v>1274</v>
      </c>
      <c r="G47" s="713" t="s">
        <v>1371</v>
      </c>
      <c r="H47" s="713" t="s">
        <v>4238</v>
      </c>
      <c r="I47" s="713" t="s">
        <v>4239</v>
      </c>
    </row>
    <row r="48" spans="1:9" x14ac:dyDescent="0.2">
      <c r="A48" t="s">
        <v>3971</v>
      </c>
      <c r="B48" s="564" t="s">
        <v>1277</v>
      </c>
      <c r="C48" s="564">
        <v>50</v>
      </c>
      <c r="D48" s="481">
        <f>440*2^((C48-69)/12)</f>
        <v>146.83238395870382</v>
      </c>
      <c r="E48" s="482">
        <f>SQRT($B$24*$B$7/D48)</f>
        <v>4.1556752999709108</v>
      </c>
      <c r="F48" s="481">
        <f>E48*25.4</f>
        <v>105.55415261926113</v>
      </c>
      <c r="G48" s="482">
        <f>$B$10</f>
        <v>1</v>
      </c>
      <c r="H48" s="482">
        <f>2*E48+G48+2*$B$8</f>
        <v>9.3913505999418216</v>
      </c>
      <c r="I48" s="472" t="str">
        <f>IF(E48&lt;=($B$5/2-1),"OK","TOO LONG")</f>
        <v>OK</v>
      </c>
    </row>
    <row r="49" spans="1:9" x14ac:dyDescent="0.2">
      <c r="A49">
        <v>1</v>
      </c>
      <c r="B49" s="564" t="s">
        <v>500</v>
      </c>
      <c r="C49" s="564">
        <v>57</v>
      </c>
      <c r="D49" s="481">
        <f t="shared" ref="D49:D58" si="0">440*2^((C49-69)/12)</f>
        <v>220</v>
      </c>
      <c r="E49" s="482">
        <f t="shared" ref="E49:E58" si="1">SQRT($B$24*$B$7/D49)</f>
        <v>3.3950110456374074</v>
      </c>
      <c r="F49" s="481">
        <f t="shared" ref="F49:F58" si="2">E49*25.4</f>
        <v>86.233280559190149</v>
      </c>
      <c r="G49" s="482">
        <f t="shared" ref="G49:G58" si="3">$B$10</f>
        <v>1</v>
      </c>
      <c r="H49" s="482">
        <f t="shared" ref="H49:H58" si="4">2*E49+G49+2*$B$8</f>
        <v>7.8700220912748149</v>
      </c>
      <c r="I49" s="472" t="str">
        <f t="shared" ref="I49:I58" si="5">IF(E49&lt;=($B$5/2-1),"OK","TOO LONG")</f>
        <v>OK</v>
      </c>
    </row>
    <row r="50" spans="1:9" x14ac:dyDescent="0.2">
      <c r="A50">
        <v>2</v>
      </c>
      <c r="B50" s="564" t="s">
        <v>243</v>
      </c>
      <c r="C50" s="564">
        <v>58</v>
      </c>
      <c r="D50" s="481">
        <f t="shared" si="0"/>
        <v>233.08188075904496</v>
      </c>
      <c r="E50" s="482">
        <f t="shared" si="1"/>
        <v>3.2983616714060435</v>
      </c>
      <c r="F50" s="481">
        <f t="shared" si="2"/>
        <v>83.778386453713495</v>
      </c>
      <c r="G50" s="482">
        <f t="shared" si="3"/>
        <v>1</v>
      </c>
      <c r="H50" s="482">
        <f t="shared" si="4"/>
        <v>7.6767233428120871</v>
      </c>
      <c r="I50" s="472" t="str">
        <f t="shared" si="5"/>
        <v>OK</v>
      </c>
    </row>
    <row r="51" spans="1:9" x14ac:dyDescent="0.2">
      <c r="A51">
        <v>3</v>
      </c>
      <c r="B51" s="564" t="s">
        <v>244</v>
      </c>
      <c r="C51" s="564">
        <v>60</v>
      </c>
      <c r="D51" s="481">
        <f t="shared" si="0"/>
        <v>261.62556530059862</v>
      </c>
      <c r="E51" s="482">
        <f t="shared" si="1"/>
        <v>3.1132388555740209</v>
      </c>
      <c r="F51" s="481">
        <f t="shared" si="2"/>
        <v>79.076266931580122</v>
      </c>
      <c r="G51" s="482">
        <f t="shared" si="3"/>
        <v>1</v>
      </c>
      <c r="H51" s="482">
        <f t="shared" si="4"/>
        <v>7.3064777111480419</v>
      </c>
      <c r="I51" s="472" t="str">
        <f t="shared" si="5"/>
        <v>OK</v>
      </c>
    </row>
    <row r="52" spans="1:9" x14ac:dyDescent="0.2">
      <c r="A52">
        <v>4</v>
      </c>
      <c r="B52" s="564" t="s">
        <v>24</v>
      </c>
      <c r="C52" s="564">
        <v>62</v>
      </c>
      <c r="D52" s="481">
        <f t="shared" si="0"/>
        <v>293.66476791740757</v>
      </c>
      <c r="E52" s="482">
        <f t="shared" si="1"/>
        <v>2.9385061850188712</v>
      </c>
      <c r="F52" s="481">
        <f t="shared" si="2"/>
        <v>74.638057099479326</v>
      </c>
      <c r="G52" s="482">
        <f t="shared" si="3"/>
        <v>1</v>
      </c>
      <c r="H52" s="482">
        <f t="shared" si="4"/>
        <v>6.9570123700377424</v>
      </c>
      <c r="I52" s="472" t="str">
        <f t="shared" si="5"/>
        <v>OK</v>
      </c>
    </row>
    <row r="53" spans="1:9" x14ac:dyDescent="0.2">
      <c r="A53">
        <v>5</v>
      </c>
      <c r="B53" s="564" t="s">
        <v>25</v>
      </c>
      <c r="C53" s="564">
        <v>64</v>
      </c>
      <c r="D53" s="481">
        <f t="shared" si="0"/>
        <v>329.62755691286992</v>
      </c>
      <c r="E53" s="482">
        <f t="shared" si="1"/>
        <v>2.7735805056955924</v>
      </c>
      <c r="F53" s="481">
        <f t="shared" si="2"/>
        <v>70.448944844668048</v>
      </c>
      <c r="G53" s="482">
        <f t="shared" si="3"/>
        <v>1</v>
      </c>
      <c r="H53" s="482">
        <f t="shared" si="4"/>
        <v>6.627161011391185</v>
      </c>
      <c r="I53" s="472" t="str">
        <f t="shared" si="5"/>
        <v>OK</v>
      </c>
    </row>
    <row r="54" spans="1:9" x14ac:dyDescent="0.2">
      <c r="A54">
        <v>6</v>
      </c>
      <c r="B54" s="564" t="s">
        <v>11</v>
      </c>
      <c r="C54" s="564">
        <v>65</v>
      </c>
      <c r="D54" s="481">
        <f t="shared" si="0"/>
        <v>349.22823143300388</v>
      </c>
      <c r="E54" s="482">
        <f t="shared" si="1"/>
        <v>2.6946220526442386</v>
      </c>
      <c r="F54" s="481">
        <f t="shared" si="2"/>
        <v>68.44340013716365</v>
      </c>
      <c r="G54" s="482">
        <f t="shared" si="3"/>
        <v>1</v>
      </c>
      <c r="H54" s="482">
        <f t="shared" si="4"/>
        <v>6.4692441052884773</v>
      </c>
      <c r="I54" s="472" t="str">
        <f t="shared" si="5"/>
        <v>OK</v>
      </c>
    </row>
    <row r="55" spans="1:9" x14ac:dyDescent="0.2">
      <c r="A55">
        <v>7</v>
      </c>
      <c r="B55" s="564" t="s">
        <v>27</v>
      </c>
      <c r="C55" s="564">
        <v>67</v>
      </c>
      <c r="D55" s="481">
        <f t="shared" si="0"/>
        <v>391.99543598174927</v>
      </c>
      <c r="E55" s="482">
        <f t="shared" si="1"/>
        <v>2.543384537876515</v>
      </c>
      <c r="F55" s="481">
        <f t="shared" si="2"/>
        <v>64.601967262063482</v>
      </c>
      <c r="G55" s="482">
        <f t="shared" si="3"/>
        <v>1</v>
      </c>
      <c r="H55" s="482">
        <f t="shared" si="4"/>
        <v>6.16676907575303</v>
      </c>
      <c r="I55" s="472" t="str">
        <f t="shared" si="5"/>
        <v>OK</v>
      </c>
    </row>
    <row r="56" spans="1:9" x14ac:dyDescent="0.2">
      <c r="A56">
        <v>8</v>
      </c>
      <c r="B56" s="564" t="s">
        <v>29</v>
      </c>
      <c r="C56" s="564">
        <v>69</v>
      </c>
      <c r="D56" s="481">
        <f t="shared" si="0"/>
        <v>440</v>
      </c>
      <c r="E56" s="482">
        <f t="shared" si="1"/>
        <v>2.400635332573442</v>
      </c>
      <c r="F56" s="481">
        <f t="shared" si="2"/>
        <v>60.976137447365424</v>
      </c>
      <c r="G56" s="482">
        <f t="shared" si="3"/>
        <v>1</v>
      </c>
      <c r="H56" s="482">
        <f t="shared" si="4"/>
        <v>5.881270665146884</v>
      </c>
      <c r="I56" s="472" t="str">
        <f t="shared" si="5"/>
        <v>OK</v>
      </c>
    </row>
    <row r="57" spans="1:9" x14ac:dyDescent="0.2">
      <c r="A57">
        <v>9</v>
      </c>
      <c r="B57" s="564" t="s">
        <v>32</v>
      </c>
      <c r="C57" s="564">
        <v>72</v>
      </c>
      <c r="D57" s="481">
        <f t="shared" si="0"/>
        <v>523.25113060119725</v>
      </c>
      <c r="E57" s="482">
        <f t="shared" si="1"/>
        <v>2.2013923062298368</v>
      </c>
      <c r="F57" s="481">
        <f t="shared" si="2"/>
        <v>55.915364578237849</v>
      </c>
      <c r="G57" s="482">
        <f t="shared" si="3"/>
        <v>1</v>
      </c>
      <c r="H57" s="482">
        <f t="shared" si="4"/>
        <v>5.4827846124596737</v>
      </c>
      <c r="I57" s="472" t="str">
        <f t="shared" si="5"/>
        <v>OK</v>
      </c>
    </row>
    <row r="58" spans="1:9" x14ac:dyDescent="0.2">
      <c r="A58">
        <v>10</v>
      </c>
      <c r="B58" s="564" t="s">
        <v>34</v>
      </c>
      <c r="C58" s="564">
        <v>74</v>
      </c>
      <c r="D58" s="481">
        <f t="shared" si="0"/>
        <v>587.32953583481515</v>
      </c>
      <c r="E58" s="482">
        <f t="shared" si="1"/>
        <v>2.0778376499854554</v>
      </c>
      <c r="F58" s="481">
        <f t="shared" si="2"/>
        <v>52.777076309630566</v>
      </c>
      <c r="G58" s="482">
        <f t="shared" si="3"/>
        <v>1</v>
      </c>
      <c r="H58" s="482">
        <f t="shared" si="4"/>
        <v>5.2356752999709109</v>
      </c>
      <c r="I58" s="472" t="str">
        <f t="shared" si="5"/>
        <v>OK</v>
      </c>
    </row>
    <row r="60" spans="1:9" ht="15" x14ac:dyDescent="0.25">
      <c r="A60" s="735" t="s">
        <v>1543</v>
      </c>
      <c r="B60" s="736"/>
      <c r="C60" s="736"/>
      <c r="D60" s="736"/>
      <c r="E60" s="736"/>
      <c r="F60" s="736"/>
    </row>
    <row r="61" spans="1:9" x14ac:dyDescent="0.2">
      <c r="A61" s="475" t="s">
        <v>610</v>
      </c>
      <c r="B61" s="478" t="s">
        <v>1545</v>
      </c>
      <c r="C61" s="475" t="s">
        <v>1546</v>
      </c>
      <c r="D61" s="475" t="s">
        <v>4057</v>
      </c>
      <c r="E61" s="475" t="s">
        <v>1548</v>
      </c>
      <c r="F61" s="475" t="s">
        <v>1549</v>
      </c>
    </row>
    <row r="62" spans="1:9" x14ac:dyDescent="0.2">
      <c r="A62">
        <v>1</v>
      </c>
      <c r="B62" t="s">
        <v>4240</v>
      </c>
      <c r="C62">
        <v>1</v>
      </c>
      <c r="D62" t="s">
        <v>4241</v>
      </c>
      <c r="E62" t="s">
        <v>4242</v>
      </c>
      <c r="F62" t="s">
        <v>4243</v>
      </c>
    </row>
    <row r="63" spans="1:9" x14ac:dyDescent="0.2">
      <c r="A63">
        <v>2</v>
      </c>
      <c r="B63" t="s">
        <v>4244</v>
      </c>
      <c r="C63">
        <v>1</v>
      </c>
      <c r="D63" t="s">
        <v>4245</v>
      </c>
      <c r="E63" t="s">
        <v>4246</v>
      </c>
      <c r="F63" t="s">
        <v>4247</v>
      </c>
    </row>
    <row r="64" spans="1:9" x14ac:dyDescent="0.2">
      <c r="A64">
        <v>3</v>
      </c>
      <c r="B64" t="s">
        <v>4248</v>
      </c>
      <c r="C64">
        <v>1</v>
      </c>
      <c r="D64" t="s">
        <v>4249</v>
      </c>
      <c r="E64" t="s">
        <v>4250</v>
      </c>
      <c r="F64" t="s">
        <v>4077</v>
      </c>
    </row>
    <row r="65" spans="1:6" x14ac:dyDescent="0.2">
      <c r="A65">
        <v>4</v>
      </c>
      <c r="B65" t="s">
        <v>4251</v>
      </c>
      <c r="C65">
        <v>1</v>
      </c>
      <c r="D65" t="s">
        <v>4252</v>
      </c>
      <c r="E65" t="s">
        <v>4253</v>
      </c>
      <c r="F65" t="s">
        <v>4254</v>
      </c>
    </row>
    <row r="66" spans="1:6" x14ac:dyDescent="0.2">
      <c r="A66">
        <v>5</v>
      </c>
      <c r="B66" t="s">
        <v>4078</v>
      </c>
      <c r="C66">
        <v>1</v>
      </c>
      <c r="D66" t="s">
        <v>4255</v>
      </c>
      <c r="E66" t="s">
        <v>4256</v>
      </c>
      <c r="F66" t="s">
        <v>4081</v>
      </c>
    </row>
    <row r="67" spans="1:6" x14ac:dyDescent="0.2">
      <c r="A67">
        <v>6</v>
      </c>
      <c r="B67" t="s">
        <v>4257</v>
      </c>
      <c r="C67">
        <v>12</v>
      </c>
      <c r="D67" t="s">
        <v>4258</v>
      </c>
      <c r="E67" t="s">
        <v>4259</v>
      </c>
      <c r="F67" t="s">
        <v>4089</v>
      </c>
    </row>
    <row r="68" spans="1:6" x14ac:dyDescent="0.2">
      <c r="A68">
        <v>7</v>
      </c>
      <c r="B68" t="s">
        <v>4260</v>
      </c>
      <c r="C68">
        <v>4</v>
      </c>
      <c r="D68" t="s">
        <v>4261</v>
      </c>
      <c r="E68" t="s">
        <v>4262</v>
      </c>
      <c r="F68" t="s">
        <v>4263</v>
      </c>
    </row>
    <row r="69" spans="1:6" x14ac:dyDescent="0.2">
      <c r="A69">
        <v>8</v>
      </c>
      <c r="B69" t="s">
        <v>4264</v>
      </c>
      <c r="C69">
        <v>1</v>
      </c>
      <c r="D69" t="s">
        <v>4265</v>
      </c>
      <c r="E69" t="s">
        <v>4266</v>
      </c>
      <c r="F69" t="s">
        <v>4093</v>
      </c>
    </row>
    <row r="70" spans="1:6" x14ac:dyDescent="0.2">
      <c r="B70" s="472" t="s">
        <v>4098</v>
      </c>
      <c r="F70" s="472" t="s">
        <v>4267</v>
      </c>
    </row>
    <row r="72" spans="1:6" ht="15" x14ac:dyDescent="0.25">
      <c r="A72" s="747" t="s">
        <v>1849</v>
      </c>
      <c r="B72" s="748"/>
      <c r="C72" s="748"/>
      <c r="D72" s="748"/>
      <c r="E72" s="748"/>
      <c r="F72" s="748"/>
    </row>
    <row r="73" spans="1:6" x14ac:dyDescent="0.2">
      <c r="A73" s="768" t="s">
        <v>610</v>
      </c>
      <c r="B73" s="768" t="s">
        <v>1623</v>
      </c>
      <c r="C73" s="768" t="s">
        <v>1624</v>
      </c>
      <c r="D73" s="768" t="s">
        <v>4100</v>
      </c>
      <c r="E73" s="768" t="s">
        <v>4101</v>
      </c>
    </row>
    <row r="74" spans="1:6" x14ac:dyDescent="0.2">
      <c r="A74">
        <v>1</v>
      </c>
      <c r="B74" t="s">
        <v>4103</v>
      </c>
      <c r="C74" t="s">
        <v>4268</v>
      </c>
      <c r="D74" t="s">
        <v>4269</v>
      </c>
      <c r="E74" t="s">
        <v>4270</v>
      </c>
    </row>
    <row r="75" spans="1:6" x14ac:dyDescent="0.2">
      <c r="A75">
        <v>2</v>
      </c>
      <c r="B75" t="s">
        <v>4103</v>
      </c>
      <c r="C75" t="s">
        <v>4271</v>
      </c>
      <c r="D75" t="s">
        <v>4272</v>
      </c>
      <c r="E75" t="s">
        <v>4273</v>
      </c>
    </row>
    <row r="76" spans="1:6" x14ac:dyDescent="0.2">
      <c r="A76">
        <v>3</v>
      </c>
      <c r="B76" t="s">
        <v>4103</v>
      </c>
      <c r="C76" t="s">
        <v>4274</v>
      </c>
      <c r="D76" t="s">
        <v>4275</v>
      </c>
      <c r="E76" t="s">
        <v>4276</v>
      </c>
    </row>
    <row r="77" spans="1:6" x14ac:dyDescent="0.2">
      <c r="A77">
        <v>4</v>
      </c>
      <c r="B77" t="s">
        <v>3808</v>
      </c>
      <c r="C77" t="s">
        <v>4277</v>
      </c>
      <c r="D77" t="s">
        <v>4278</v>
      </c>
      <c r="E77" t="s">
        <v>4279</v>
      </c>
    </row>
    <row r="78" spans="1:6" x14ac:dyDescent="0.2">
      <c r="A78">
        <v>5</v>
      </c>
      <c r="B78" t="s">
        <v>4280</v>
      </c>
      <c r="C78" t="s">
        <v>4281</v>
      </c>
      <c r="D78" t="s">
        <v>4282</v>
      </c>
      <c r="E78" t="s">
        <v>4283</v>
      </c>
    </row>
    <row r="79" spans="1:6" x14ac:dyDescent="0.2">
      <c r="A79">
        <v>6</v>
      </c>
      <c r="B79" t="s">
        <v>4280</v>
      </c>
      <c r="C79" t="s">
        <v>4284</v>
      </c>
      <c r="D79" t="s">
        <v>4285</v>
      </c>
      <c r="E79" t="s">
        <v>4286</v>
      </c>
    </row>
    <row r="80" spans="1:6" x14ac:dyDescent="0.2">
      <c r="A80">
        <v>7</v>
      </c>
      <c r="B80" t="s">
        <v>2410</v>
      </c>
      <c r="C80" t="s">
        <v>4287</v>
      </c>
      <c r="D80" t="s">
        <v>1324</v>
      </c>
      <c r="E80" t="s">
        <v>4288</v>
      </c>
    </row>
    <row r="81" spans="1:6" x14ac:dyDescent="0.2">
      <c r="A81">
        <v>8</v>
      </c>
      <c r="B81" t="s">
        <v>2410</v>
      </c>
      <c r="C81" t="s">
        <v>4289</v>
      </c>
      <c r="D81" t="s">
        <v>4290</v>
      </c>
      <c r="E81" t="s">
        <v>4291</v>
      </c>
    </row>
    <row r="82" spans="1:6" x14ac:dyDescent="0.2">
      <c r="A82">
        <v>9</v>
      </c>
      <c r="B82" t="s">
        <v>2410</v>
      </c>
      <c r="C82" t="s">
        <v>4292</v>
      </c>
      <c r="D82" t="s">
        <v>4293</v>
      </c>
      <c r="E82" t="s">
        <v>4294</v>
      </c>
    </row>
    <row r="83" spans="1:6" x14ac:dyDescent="0.2">
      <c r="A83">
        <v>10</v>
      </c>
      <c r="B83" t="s">
        <v>4295</v>
      </c>
      <c r="C83" t="s">
        <v>4296</v>
      </c>
      <c r="D83" t="s">
        <v>4297</v>
      </c>
      <c r="E83" t="s">
        <v>4298</v>
      </c>
    </row>
    <row r="84" spans="1:6" x14ac:dyDescent="0.2">
      <c r="A84">
        <v>11</v>
      </c>
      <c r="B84" t="s">
        <v>1595</v>
      </c>
      <c r="C84" t="s">
        <v>4299</v>
      </c>
      <c r="D84" t="s">
        <v>4300</v>
      </c>
      <c r="E84" t="s">
        <v>4301</v>
      </c>
    </row>
    <row r="85" spans="1:6" x14ac:dyDescent="0.2">
      <c r="A85">
        <v>12</v>
      </c>
      <c r="B85" t="s">
        <v>1595</v>
      </c>
      <c r="C85" t="s">
        <v>4302</v>
      </c>
      <c r="D85" t="s">
        <v>1324</v>
      </c>
      <c r="E85" t="s">
        <v>4303</v>
      </c>
    </row>
    <row r="87" spans="1:6" ht="15" x14ac:dyDescent="0.25">
      <c r="A87" s="751" t="s">
        <v>1532</v>
      </c>
      <c r="B87" s="752"/>
      <c r="C87" s="752"/>
      <c r="D87" s="752"/>
      <c r="E87" s="752"/>
      <c r="F87" s="752"/>
    </row>
    <row r="88" spans="1:6" x14ac:dyDescent="0.2">
      <c r="A88" t="s">
        <v>4304</v>
      </c>
    </row>
    <row r="89" spans="1:6" x14ac:dyDescent="0.2">
      <c r="A89" t="s">
        <v>4305</v>
      </c>
    </row>
    <row r="90" spans="1:6" x14ac:dyDescent="0.2">
      <c r="A90" t="s">
        <v>4306</v>
      </c>
    </row>
    <row r="91" spans="1:6" x14ac:dyDescent="0.2">
      <c r="A91" t="s">
        <v>4307</v>
      </c>
    </row>
    <row r="92" spans="1:6" x14ac:dyDescent="0.2">
      <c r="A92" t="s">
        <v>4308</v>
      </c>
    </row>
    <row r="93" spans="1:6" x14ac:dyDescent="0.2">
      <c r="A93" t="s">
        <v>4309</v>
      </c>
    </row>
    <row r="94" spans="1:6" x14ac:dyDescent="0.2">
      <c r="A94" t="s">
        <v>4310</v>
      </c>
    </row>
    <row r="95" spans="1:6" x14ac:dyDescent="0.2">
      <c r="A95" t="s">
        <v>4311</v>
      </c>
    </row>
    <row r="96" spans="1:6" x14ac:dyDescent="0.2">
      <c r="A96" t="s">
        <v>4312</v>
      </c>
    </row>
    <row r="97" spans="1:1" x14ac:dyDescent="0.2">
      <c r="A97" t="s">
        <v>4313</v>
      </c>
    </row>
    <row r="100" spans="1:1" ht="18" x14ac:dyDescent="0.25">
      <c r="A100" s="833" t="s">
        <v>6929</v>
      </c>
    </row>
    <row r="101" spans="1:1" x14ac:dyDescent="0.2">
      <c r="A101" s="734" t="s">
        <v>6930</v>
      </c>
    </row>
    <row r="103" spans="1:1" x14ac:dyDescent="0.2">
      <c r="A103" s="609" t="s">
        <v>6355</v>
      </c>
    </row>
    <row r="104" spans="1:1" x14ac:dyDescent="0.2">
      <c r="A104" t="s">
        <v>6931</v>
      </c>
    </row>
    <row r="105" spans="1:1" x14ac:dyDescent="0.2">
      <c r="A105" t="s">
        <v>6932</v>
      </c>
    </row>
    <row r="106" spans="1:1" x14ac:dyDescent="0.2">
      <c r="A106" t="s">
        <v>6933</v>
      </c>
    </row>
    <row r="108" spans="1:1" x14ac:dyDescent="0.2">
      <c r="A108" s="609" t="s">
        <v>6359</v>
      </c>
    </row>
    <row r="109" spans="1:1" x14ac:dyDescent="0.2">
      <c r="A109" t="s">
        <v>6934</v>
      </c>
    </row>
    <row r="110" spans="1:1" x14ac:dyDescent="0.2">
      <c r="A110" t="s">
        <v>6935</v>
      </c>
    </row>
    <row r="111" spans="1:1" x14ac:dyDescent="0.2">
      <c r="A111" t="s">
        <v>6936</v>
      </c>
    </row>
    <row r="112" spans="1:1" x14ac:dyDescent="0.2">
      <c r="A112" t="s">
        <v>6937</v>
      </c>
    </row>
    <row r="114" spans="1:1" x14ac:dyDescent="0.2">
      <c r="A114" s="609" t="s">
        <v>6654</v>
      </c>
    </row>
    <row r="115" spans="1:1" x14ac:dyDescent="0.2">
      <c r="A115" t="s">
        <v>6938</v>
      </c>
    </row>
    <row r="116" spans="1:1" x14ac:dyDescent="0.2">
      <c r="A116" t="s">
        <v>6939</v>
      </c>
    </row>
    <row r="117" spans="1:1" x14ac:dyDescent="0.2">
      <c r="A117" t="s">
        <v>6940</v>
      </c>
    </row>
    <row r="119" spans="1:1" x14ac:dyDescent="0.2">
      <c r="A119" s="609" t="s">
        <v>6658</v>
      </c>
    </row>
    <row r="120" spans="1:1" x14ac:dyDescent="0.2">
      <c r="A120" t="s">
        <v>6941</v>
      </c>
    </row>
    <row r="121" spans="1:1" x14ac:dyDescent="0.2">
      <c r="A121" t="s">
        <v>6942</v>
      </c>
    </row>
    <row r="123" spans="1:1" x14ac:dyDescent="0.2">
      <c r="A123" s="609" t="s">
        <v>6661</v>
      </c>
    </row>
    <row r="124" spans="1:1" x14ac:dyDescent="0.2">
      <c r="A124" t="s">
        <v>6925</v>
      </c>
    </row>
    <row r="125" spans="1:1" x14ac:dyDescent="0.2">
      <c r="A125" t="s">
        <v>6943</v>
      </c>
    </row>
    <row r="126" spans="1:1" x14ac:dyDescent="0.2">
      <c r="A126" t="s">
        <v>6944</v>
      </c>
    </row>
    <row r="128" spans="1:1" x14ac:dyDescent="0.2">
      <c r="A128" s="609" t="s">
        <v>6682</v>
      </c>
    </row>
    <row r="129" spans="1:1" x14ac:dyDescent="0.2">
      <c r="A129" t="s">
        <v>6945</v>
      </c>
    </row>
    <row r="134" spans="1:1" ht="18" x14ac:dyDescent="0.25">
      <c r="A134" s="838" t="s">
        <v>7377</v>
      </c>
    </row>
    <row r="135" spans="1:1" x14ac:dyDescent="0.2">
      <c r="A135" s="734" t="s">
        <v>7246</v>
      </c>
    </row>
    <row r="137" spans="1:1" x14ac:dyDescent="0.2">
      <c r="A137" s="839" t="s">
        <v>7247</v>
      </c>
    </row>
    <row r="138" spans="1:1" x14ac:dyDescent="0.2">
      <c r="A138" s="842" t="s">
        <v>7378</v>
      </c>
    </row>
    <row r="139" spans="1:1" x14ac:dyDescent="0.2">
      <c r="A139" t="s">
        <v>7379</v>
      </c>
    </row>
    <row r="140" spans="1:1" x14ac:dyDescent="0.2">
      <c r="A140" t="s">
        <v>7380</v>
      </c>
    </row>
    <row r="142" spans="1:1" x14ac:dyDescent="0.2">
      <c r="A142" s="839" t="s">
        <v>7259</v>
      </c>
    </row>
    <row r="143" spans="1:1" x14ac:dyDescent="0.2">
      <c r="A143" s="842" t="s">
        <v>7381</v>
      </c>
    </row>
    <row r="144" spans="1:1" x14ac:dyDescent="0.2">
      <c r="A144" t="s">
        <v>7382</v>
      </c>
    </row>
    <row r="146" spans="1:1" x14ac:dyDescent="0.2">
      <c r="A146" s="839" t="s">
        <v>7383</v>
      </c>
    </row>
    <row r="147" spans="1:1" x14ac:dyDescent="0.2">
      <c r="A147" s="842" t="s">
        <v>7384</v>
      </c>
    </row>
    <row r="148" spans="1:1" x14ac:dyDescent="0.2">
      <c r="A148" t="s">
        <v>7385</v>
      </c>
    </row>
  </sheetData>
  <pageMargins left="0.7" right="0.7" top="0.75" bottom="0.75" header="0.3" footer="0.3"/>
  <legacy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D7E71-96B0-4CF8-B479-6C2DA1433503}">
  <dimension ref="A1:I171"/>
  <sheetViews>
    <sheetView workbookViewId="0">
      <pane ySplit="3" topLeftCell="A24" activePane="bottomLeft" state="frozen"/>
      <selection pane="bottomLeft"/>
    </sheetView>
  </sheetViews>
  <sheetFormatPr defaultRowHeight="12.75" x14ac:dyDescent="0.2"/>
  <cols>
    <col min="1" max="1" width="137.140625" customWidth="1"/>
    <col min="2" max="2" width="34.28515625" customWidth="1"/>
    <col min="3" max="5" width="22.85546875" customWidth="1"/>
    <col min="6" max="7" width="19" customWidth="1"/>
    <col min="8" max="8" width="15.28515625" customWidth="1"/>
    <col min="9" max="9" width="19" customWidth="1"/>
  </cols>
  <sheetData>
    <row r="1" spans="1:4" ht="18" x14ac:dyDescent="0.25">
      <c r="A1" s="470" t="s">
        <v>4314</v>
      </c>
    </row>
    <row r="2" spans="1:4" x14ac:dyDescent="0.2">
      <c r="A2" s="734" t="s">
        <v>4315</v>
      </c>
    </row>
    <row r="4" spans="1:4" ht="15" x14ac:dyDescent="0.25">
      <c r="A4" s="735" t="s">
        <v>4316</v>
      </c>
      <c r="B4" s="736"/>
      <c r="C4" s="736"/>
      <c r="D4" s="736"/>
    </row>
    <row r="5" spans="1:4" x14ac:dyDescent="0.2">
      <c r="A5" t="s">
        <v>4317</v>
      </c>
      <c r="B5" s="565">
        <v>12</v>
      </c>
      <c r="C5" t="s">
        <v>4318</v>
      </c>
    </row>
    <row r="6" spans="1:4" x14ac:dyDescent="0.2">
      <c r="A6" t="s">
        <v>4319</v>
      </c>
      <c r="B6" s="565">
        <v>5</v>
      </c>
      <c r="C6" t="s">
        <v>4320</v>
      </c>
    </row>
    <row r="7" spans="1:4" x14ac:dyDescent="0.2">
      <c r="A7" t="s">
        <v>1265</v>
      </c>
      <c r="B7" s="596">
        <v>0.375</v>
      </c>
      <c r="C7" t="s">
        <v>4321</v>
      </c>
    </row>
    <row r="8" spans="1:4" x14ac:dyDescent="0.2">
      <c r="A8" t="s">
        <v>4322</v>
      </c>
      <c r="B8" s="564" t="s">
        <v>1248</v>
      </c>
    </row>
    <row r="9" spans="1:4" x14ac:dyDescent="0.2">
      <c r="A9" t="s">
        <v>4323</v>
      </c>
      <c r="B9" s="679">
        <v>24438</v>
      </c>
      <c r="C9" t="s">
        <v>4324</v>
      </c>
    </row>
    <row r="10" spans="1:4" x14ac:dyDescent="0.2">
      <c r="A10" t="s">
        <v>4176</v>
      </c>
      <c r="B10" s="596">
        <v>0.125</v>
      </c>
      <c r="C10" t="s">
        <v>4325</v>
      </c>
    </row>
    <row r="11" spans="1:4" x14ac:dyDescent="0.2">
      <c r="A11" t="s">
        <v>1266</v>
      </c>
      <c r="B11" s="565">
        <v>1</v>
      </c>
      <c r="C11" t="s">
        <v>4326</v>
      </c>
    </row>
    <row r="12" spans="1:4" x14ac:dyDescent="0.2">
      <c r="A12" t="s">
        <v>3737</v>
      </c>
      <c r="B12" s="737">
        <v>11</v>
      </c>
    </row>
    <row r="13" spans="1:4" x14ac:dyDescent="0.2">
      <c r="A13" t="s">
        <v>994</v>
      </c>
      <c r="B13" s="564" t="s">
        <v>3953</v>
      </c>
    </row>
    <row r="14" spans="1:4" x14ac:dyDescent="0.2">
      <c r="A14" t="s">
        <v>3942</v>
      </c>
      <c r="B14" s="565">
        <v>2.5</v>
      </c>
      <c r="C14" t="s">
        <v>4327</v>
      </c>
    </row>
    <row r="15" spans="1:4" x14ac:dyDescent="0.2">
      <c r="A15" t="s">
        <v>3198</v>
      </c>
      <c r="B15" s="564" t="s">
        <v>398</v>
      </c>
      <c r="C15" t="s">
        <v>4328</v>
      </c>
    </row>
    <row r="17" spans="1:6" ht="15" x14ac:dyDescent="0.25">
      <c r="A17" s="738" t="s">
        <v>4329</v>
      </c>
      <c r="B17" s="739"/>
      <c r="C17" s="739"/>
      <c r="D17" s="739"/>
      <c r="E17" s="739"/>
      <c r="F17" s="739"/>
    </row>
    <row r="18" spans="1:6" x14ac:dyDescent="0.2">
      <c r="A18" s="484" t="s">
        <v>613</v>
      </c>
      <c r="B18" s="484" t="s">
        <v>1243</v>
      </c>
      <c r="C18" s="484" t="s">
        <v>1244</v>
      </c>
      <c r="D18" s="484" t="s">
        <v>4330</v>
      </c>
      <c r="E18" s="484" t="s">
        <v>4189</v>
      </c>
      <c r="F18" s="484" t="s">
        <v>3576</v>
      </c>
    </row>
    <row r="19" spans="1:6" x14ac:dyDescent="0.2">
      <c r="A19" t="s">
        <v>1248</v>
      </c>
      <c r="B19">
        <v>11</v>
      </c>
      <c r="C19">
        <v>745</v>
      </c>
      <c r="D19" s="662">
        <v>24438</v>
      </c>
      <c r="E19" t="s">
        <v>4331</v>
      </c>
      <c r="F19" t="s">
        <v>1250</v>
      </c>
    </row>
    <row r="20" spans="1:6" x14ac:dyDescent="0.2">
      <c r="A20" t="s">
        <v>1251</v>
      </c>
      <c r="B20">
        <v>15.8</v>
      </c>
      <c r="C20">
        <v>870</v>
      </c>
      <c r="D20" s="662">
        <v>27103</v>
      </c>
      <c r="E20" t="s">
        <v>4332</v>
      </c>
      <c r="F20" t="s">
        <v>1250</v>
      </c>
    </row>
    <row r="21" spans="1:6" x14ac:dyDescent="0.2">
      <c r="A21" t="s">
        <v>464</v>
      </c>
      <c r="B21">
        <v>10.3</v>
      </c>
      <c r="C21">
        <v>560</v>
      </c>
      <c r="D21" s="662">
        <v>27275</v>
      </c>
      <c r="E21" t="s">
        <v>4333</v>
      </c>
      <c r="F21" t="s">
        <v>1254</v>
      </c>
    </row>
    <row r="22" spans="1:6" x14ac:dyDescent="0.2">
      <c r="A22" t="s">
        <v>398</v>
      </c>
      <c r="B22">
        <v>11.6</v>
      </c>
      <c r="C22">
        <v>610</v>
      </c>
      <c r="D22" s="662">
        <v>27734</v>
      </c>
      <c r="E22" t="s">
        <v>4334</v>
      </c>
      <c r="F22" t="s">
        <v>1254</v>
      </c>
    </row>
    <row r="23" spans="1:6" x14ac:dyDescent="0.2">
      <c r="A23" t="s">
        <v>386</v>
      </c>
      <c r="B23">
        <v>12.6</v>
      </c>
      <c r="C23">
        <v>705</v>
      </c>
      <c r="D23" s="662">
        <v>26887</v>
      </c>
      <c r="E23" t="s">
        <v>4335</v>
      </c>
      <c r="F23" t="s">
        <v>1254</v>
      </c>
    </row>
    <row r="24" spans="1:6" x14ac:dyDescent="0.2">
      <c r="A24" t="s">
        <v>378</v>
      </c>
      <c r="B24">
        <v>10.1</v>
      </c>
      <c r="C24">
        <v>590</v>
      </c>
      <c r="D24" s="662">
        <v>26314</v>
      </c>
      <c r="E24" t="s">
        <v>4336</v>
      </c>
      <c r="F24" t="s">
        <v>1254</v>
      </c>
    </row>
    <row r="25" spans="1:6" x14ac:dyDescent="0.2">
      <c r="A25" t="s">
        <v>393</v>
      </c>
      <c r="B25">
        <v>7.7</v>
      </c>
      <c r="C25">
        <v>370</v>
      </c>
      <c r="D25" s="662">
        <v>29013</v>
      </c>
      <c r="E25" t="s">
        <v>4337</v>
      </c>
      <c r="F25" t="s">
        <v>1257</v>
      </c>
    </row>
    <row r="27" spans="1:6" ht="15" x14ac:dyDescent="0.25">
      <c r="A27" s="743" t="s">
        <v>4338</v>
      </c>
      <c r="B27" s="744"/>
      <c r="C27" s="744"/>
      <c r="D27" s="744"/>
    </row>
    <row r="28" spans="1:6" x14ac:dyDescent="0.2">
      <c r="A28" t="s">
        <v>4212</v>
      </c>
      <c r="B28" s="481">
        <f>(2/3)*PI()*(B5/2)^2*B6</f>
        <v>376.99111843077515</v>
      </c>
      <c r="C28" t="s">
        <v>4339</v>
      </c>
    </row>
    <row r="29" spans="1:6" x14ac:dyDescent="0.2">
      <c r="A29" t="s">
        <v>4213</v>
      </c>
      <c r="B29" s="469">
        <f>PI()*(B14/2)^2</f>
        <v>4.908738521234052</v>
      </c>
    </row>
    <row r="30" spans="1:6" x14ac:dyDescent="0.2">
      <c r="A30" t="s">
        <v>3188</v>
      </c>
      <c r="B30" s="469">
        <f>0.75</f>
        <v>0.75</v>
      </c>
    </row>
    <row r="31" spans="1:6" x14ac:dyDescent="0.2">
      <c r="A31" t="s">
        <v>4215</v>
      </c>
      <c r="B31" s="707">
        <f>(13552/(2*PI()))*SQRT(B29/(B28*B30))</f>
        <v>284.19228435000349</v>
      </c>
      <c r="C31" t="s">
        <v>4340</v>
      </c>
    </row>
    <row r="32" spans="1:6" x14ac:dyDescent="0.2">
      <c r="A32" t="s">
        <v>3963</v>
      </c>
      <c r="B32" s="472" t="str">
        <f>CHOOSE(MOD(ROUND(12*LOG(B31/440,2)+69,0),12)+1,"C","C#","D","D#","E","F","F#","G","G#","A","A#","B")&amp;INT((ROUND(12*LOG(B31/440,2)+69,0))/12-1)</f>
        <v>C#4</v>
      </c>
    </row>
    <row r="34" spans="1:9" ht="15" x14ac:dyDescent="0.25">
      <c r="A34" s="764" t="s">
        <v>4236</v>
      </c>
      <c r="B34" s="765"/>
      <c r="C34" s="765"/>
      <c r="D34" s="765"/>
      <c r="E34" s="765"/>
      <c r="F34" s="765"/>
      <c r="G34" s="765"/>
      <c r="H34" s="765"/>
      <c r="I34" s="765"/>
    </row>
    <row r="35" spans="1:9" x14ac:dyDescent="0.2">
      <c r="A35" t="s">
        <v>4341</v>
      </c>
      <c r="B35" s="481">
        <f>B5/2-1</f>
        <v>5</v>
      </c>
      <c r="C35" t="s">
        <v>4342</v>
      </c>
    </row>
    <row r="37" spans="1:9" x14ac:dyDescent="0.2">
      <c r="A37" s="713" t="s">
        <v>610</v>
      </c>
      <c r="B37" s="713" t="s">
        <v>785</v>
      </c>
      <c r="C37" s="713" t="s">
        <v>1272</v>
      </c>
      <c r="D37" s="713" t="s">
        <v>1368</v>
      </c>
      <c r="E37" s="713" t="s">
        <v>1273</v>
      </c>
      <c r="F37" s="713" t="s">
        <v>1298</v>
      </c>
      <c r="G37" s="713" t="s">
        <v>4343</v>
      </c>
      <c r="H37" s="713" t="s">
        <v>3993</v>
      </c>
      <c r="I37" s="713" t="s">
        <v>4239</v>
      </c>
    </row>
    <row r="38" spans="1:9" x14ac:dyDescent="0.2">
      <c r="A38" t="s">
        <v>3971</v>
      </c>
      <c r="B38" s="564" t="s">
        <v>1277</v>
      </c>
      <c r="C38" s="564">
        <v>50</v>
      </c>
      <c r="D38" s="481">
        <f>440*2^((C38-69)/12)</f>
        <v>146.83238395870382</v>
      </c>
      <c r="E38" s="482">
        <f>SQRT($B$9*$B$7/D38)</f>
        <v>7.9001900521636257</v>
      </c>
      <c r="F38" s="481">
        <f>E38*25.4</f>
        <v>200.66482732495609</v>
      </c>
      <c r="G38" s="482">
        <f>E38+$B$10</f>
        <v>8.0251900521636266</v>
      </c>
      <c r="H38" t="s">
        <v>3998</v>
      </c>
      <c r="I38" s="472" t="str">
        <f>IF(E38&lt;=$B$35,"OK","⚠️ TOO LONG")</f>
        <v>⚠️ TOO LONG</v>
      </c>
    </row>
    <row r="39" spans="1:9" x14ac:dyDescent="0.2">
      <c r="A39">
        <v>1</v>
      </c>
      <c r="B39" s="564" t="s">
        <v>500</v>
      </c>
      <c r="C39" s="564">
        <v>57</v>
      </c>
      <c r="D39" s="481">
        <f t="shared" ref="D39:D48" si="0">440*2^((C39-69)/12)</f>
        <v>220</v>
      </c>
      <c r="E39" s="482">
        <f t="shared" ref="E39:E48" si="1">SQRT($B$9*$B$7/D39)</f>
        <v>6.4541213048858808</v>
      </c>
      <c r="F39" s="481">
        <f t="shared" ref="F39:F48" si="2">E39*25.4</f>
        <v>163.93468114410138</v>
      </c>
      <c r="G39" s="482">
        <f t="shared" ref="G39:G48" si="3">E39+$B$10</f>
        <v>6.5791213048858808</v>
      </c>
      <c r="H39" t="s">
        <v>3998</v>
      </c>
      <c r="I39" s="472" t="str">
        <f t="shared" ref="I39:I48" si="4">IF(E39&lt;=$B$35,"OK","⚠️ TOO LONG")</f>
        <v>⚠️ TOO LONG</v>
      </c>
    </row>
    <row r="40" spans="1:9" x14ac:dyDescent="0.2">
      <c r="A40">
        <v>2</v>
      </c>
      <c r="B40" s="564" t="s">
        <v>243</v>
      </c>
      <c r="C40" s="564">
        <v>58</v>
      </c>
      <c r="D40" s="481">
        <f t="shared" si="0"/>
        <v>233.08188075904496</v>
      </c>
      <c r="E40" s="482">
        <f t="shared" si="1"/>
        <v>6.2703849997766232</v>
      </c>
      <c r="F40" s="481">
        <f t="shared" si="2"/>
        <v>159.26777899432622</v>
      </c>
      <c r="G40" s="482">
        <f t="shared" si="3"/>
        <v>6.3953849997766232</v>
      </c>
      <c r="H40" t="s">
        <v>3998</v>
      </c>
      <c r="I40" s="472" t="str">
        <f t="shared" si="4"/>
        <v>⚠️ TOO LONG</v>
      </c>
    </row>
    <row r="41" spans="1:9" x14ac:dyDescent="0.2">
      <c r="A41">
        <v>3</v>
      </c>
      <c r="B41" s="564" t="s">
        <v>244</v>
      </c>
      <c r="C41" s="564">
        <v>60</v>
      </c>
      <c r="D41" s="481">
        <f t="shared" si="0"/>
        <v>261.62556530059862</v>
      </c>
      <c r="E41" s="482">
        <f t="shared" si="1"/>
        <v>5.9184553319137612</v>
      </c>
      <c r="F41" s="481">
        <f t="shared" si="2"/>
        <v>150.32876543060954</v>
      </c>
      <c r="G41" s="482">
        <f t="shared" si="3"/>
        <v>6.0434553319137612</v>
      </c>
      <c r="H41" t="s">
        <v>3998</v>
      </c>
      <c r="I41" s="472" t="str">
        <f t="shared" si="4"/>
        <v>⚠️ TOO LONG</v>
      </c>
    </row>
    <row r="42" spans="1:9" x14ac:dyDescent="0.2">
      <c r="A42">
        <v>4</v>
      </c>
      <c r="B42" s="564" t="s">
        <v>24</v>
      </c>
      <c r="C42" s="564">
        <v>62</v>
      </c>
      <c r="D42" s="481">
        <f t="shared" si="0"/>
        <v>293.66476791740757</v>
      </c>
      <c r="E42" s="482">
        <f t="shared" si="1"/>
        <v>5.5862779585474049</v>
      </c>
      <c r="F42" s="481">
        <f t="shared" si="2"/>
        <v>141.89146014710408</v>
      </c>
      <c r="G42" s="482">
        <f t="shared" si="3"/>
        <v>5.7112779585474049</v>
      </c>
      <c r="H42" t="s">
        <v>3998</v>
      </c>
      <c r="I42" s="472" t="str">
        <f t="shared" si="4"/>
        <v>⚠️ TOO LONG</v>
      </c>
    </row>
    <row r="43" spans="1:9" x14ac:dyDescent="0.2">
      <c r="A43">
        <v>5</v>
      </c>
      <c r="B43" s="564" t="s">
        <v>25</v>
      </c>
      <c r="C43" s="564">
        <v>64</v>
      </c>
      <c r="D43" s="481">
        <f t="shared" si="0"/>
        <v>329.62755691286992</v>
      </c>
      <c r="E43" s="482">
        <f t="shared" si="1"/>
        <v>5.2727442685728256</v>
      </c>
      <c r="F43" s="481">
        <f t="shared" si="2"/>
        <v>133.92770442174975</v>
      </c>
      <c r="G43" s="482">
        <f t="shared" si="3"/>
        <v>5.3977442685728256</v>
      </c>
      <c r="H43" t="s">
        <v>3998</v>
      </c>
      <c r="I43" s="472" t="str">
        <f t="shared" si="4"/>
        <v>⚠️ TOO LONG</v>
      </c>
    </row>
    <row r="44" spans="1:9" x14ac:dyDescent="0.2">
      <c r="A44">
        <v>6</v>
      </c>
      <c r="B44" s="564" t="s">
        <v>11</v>
      </c>
      <c r="C44" s="564">
        <v>65</v>
      </c>
      <c r="D44" s="481">
        <f t="shared" si="0"/>
        <v>349.22823143300388</v>
      </c>
      <c r="E44" s="482">
        <f t="shared" si="1"/>
        <v>5.1226394744531074</v>
      </c>
      <c r="F44" s="481">
        <f t="shared" si="2"/>
        <v>130.11504265110892</v>
      </c>
      <c r="G44" s="482">
        <f t="shared" si="3"/>
        <v>5.2476394744531074</v>
      </c>
      <c r="H44" t="s">
        <v>3998</v>
      </c>
      <c r="I44" s="472" t="str">
        <f t="shared" si="4"/>
        <v>⚠️ TOO LONG</v>
      </c>
    </row>
    <row r="45" spans="1:9" x14ac:dyDescent="0.2">
      <c r="A45">
        <v>7</v>
      </c>
      <c r="B45" s="564" t="s">
        <v>27</v>
      </c>
      <c r="C45" s="564">
        <v>67</v>
      </c>
      <c r="D45" s="481">
        <f t="shared" si="0"/>
        <v>391.99543598174927</v>
      </c>
      <c r="E45" s="482">
        <f t="shared" si="1"/>
        <v>4.8351278130655384</v>
      </c>
      <c r="F45" s="481">
        <f t="shared" si="2"/>
        <v>122.81224645186467</v>
      </c>
      <c r="G45" s="482">
        <f t="shared" si="3"/>
        <v>4.9601278130655384</v>
      </c>
      <c r="H45" t="s">
        <v>3998</v>
      </c>
      <c r="I45" s="472" t="str">
        <f t="shared" si="4"/>
        <v>OK</v>
      </c>
    </row>
    <row r="46" spans="1:9" x14ac:dyDescent="0.2">
      <c r="A46">
        <v>8</v>
      </c>
      <c r="B46" s="564" t="s">
        <v>29</v>
      </c>
      <c r="C46" s="564">
        <v>69</v>
      </c>
      <c r="D46" s="481">
        <f t="shared" si="0"/>
        <v>440</v>
      </c>
      <c r="E46" s="482">
        <f t="shared" si="1"/>
        <v>4.563752941285375</v>
      </c>
      <c r="F46" s="481">
        <f t="shared" si="2"/>
        <v>115.91932470864852</v>
      </c>
      <c r="G46" s="482">
        <f t="shared" si="3"/>
        <v>4.688752941285375</v>
      </c>
      <c r="H46" t="s">
        <v>3998</v>
      </c>
      <c r="I46" s="472" t="str">
        <f t="shared" si="4"/>
        <v>OK</v>
      </c>
    </row>
    <row r="47" spans="1:9" x14ac:dyDescent="0.2">
      <c r="A47">
        <v>9</v>
      </c>
      <c r="B47" s="564" t="s">
        <v>32</v>
      </c>
      <c r="C47" s="564">
        <v>72</v>
      </c>
      <c r="D47" s="481">
        <f t="shared" si="0"/>
        <v>523.25113060119725</v>
      </c>
      <c r="E47" s="482">
        <f t="shared" si="1"/>
        <v>4.1849798993458993</v>
      </c>
      <c r="F47" s="481">
        <f t="shared" si="2"/>
        <v>106.29848944338583</v>
      </c>
      <c r="G47" s="482">
        <f t="shared" si="3"/>
        <v>4.3099798993458993</v>
      </c>
      <c r="H47" t="s">
        <v>3998</v>
      </c>
      <c r="I47" s="472" t="str">
        <f t="shared" si="4"/>
        <v>OK</v>
      </c>
    </row>
    <row r="48" spans="1:9" x14ac:dyDescent="0.2">
      <c r="A48">
        <v>10</v>
      </c>
      <c r="B48" s="564" t="s">
        <v>34</v>
      </c>
      <c r="C48" s="564">
        <v>74</v>
      </c>
      <c r="D48" s="481">
        <f t="shared" si="0"/>
        <v>587.32953583481515</v>
      </c>
      <c r="E48" s="482">
        <f t="shared" si="1"/>
        <v>3.9500950260818133</v>
      </c>
      <c r="F48" s="481">
        <f t="shared" si="2"/>
        <v>100.33241366247805</v>
      </c>
      <c r="G48" s="482">
        <f t="shared" si="3"/>
        <v>4.0750950260818133</v>
      </c>
      <c r="H48" t="s">
        <v>3998</v>
      </c>
      <c r="I48" s="472" t="str">
        <f t="shared" si="4"/>
        <v>OK</v>
      </c>
    </row>
    <row r="50" spans="1:6" ht="15" x14ac:dyDescent="0.25">
      <c r="A50" s="743" t="s">
        <v>4345</v>
      </c>
      <c r="B50" s="744"/>
      <c r="C50" s="744"/>
      <c r="D50" s="744"/>
      <c r="E50" s="744"/>
    </row>
    <row r="51" spans="1:6" x14ac:dyDescent="0.2">
      <c r="A51" t="s">
        <v>4355</v>
      </c>
    </row>
    <row r="52" spans="1:6" x14ac:dyDescent="0.2">
      <c r="A52" s="486" t="s">
        <v>3769</v>
      </c>
      <c r="B52" s="486" t="s">
        <v>4346</v>
      </c>
      <c r="C52" s="486" t="s">
        <v>4347</v>
      </c>
      <c r="D52" s="486" t="s">
        <v>4348</v>
      </c>
      <c r="E52" s="486" t="s">
        <v>4349</v>
      </c>
    </row>
    <row r="53" spans="1:6" x14ac:dyDescent="0.2">
      <c r="A53" t="s">
        <v>4356</v>
      </c>
      <c r="B53" s="481">
        <v>7.9</v>
      </c>
      <c r="C53">
        <v>5</v>
      </c>
      <c r="D53" s="695">
        <v>46123</v>
      </c>
      <c r="E53" t="s">
        <v>4350</v>
      </c>
    </row>
    <row r="54" spans="1:6" x14ac:dyDescent="0.2">
      <c r="A54" t="s">
        <v>4357</v>
      </c>
      <c r="B54" s="481">
        <v>7.9</v>
      </c>
      <c r="C54">
        <v>7</v>
      </c>
      <c r="D54" s="695">
        <v>46214</v>
      </c>
      <c r="E54" t="s">
        <v>4351</v>
      </c>
    </row>
    <row r="55" spans="1:6" x14ac:dyDescent="0.2">
      <c r="A55" t="s">
        <v>4358</v>
      </c>
      <c r="B55" s="481">
        <v>5.6</v>
      </c>
      <c r="C55">
        <v>5</v>
      </c>
      <c r="D55" s="695">
        <v>46306</v>
      </c>
      <c r="E55" t="s">
        <v>4352</v>
      </c>
    </row>
    <row r="56" spans="1:6" x14ac:dyDescent="0.2">
      <c r="A56" t="s">
        <v>4359</v>
      </c>
      <c r="B56" s="481">
        <v>5.6</v>
      </c>
      <c r="C56">
        <v>6</v>
      </c>
      <c r="D56" s="695" t="s">
        <v>4353</v>
      </c>
      <c r="E56" t="s">
        <v>4354</v>
      </c>
    </row>
    <row r="57" spans="1:6" x14ac:dyDescent="0.2">
      <c r="A57" t="s">
        <v>4360</v>
      </c>
      <c r="B57" s="481">
        <f>SQRT(29013*0.25/293.66)</f>
        <v>4.9698573817169045</v>
      </c>
      <c r="C57">
        <v>5</v>
      </c>
      <c r="D57" t="s">
        <v>4353</v>
      </c>
      <c r="E57" t="s">
        <v>4354</v>
      </c>
    </row>
    <row r="59" spans="1:6" x14ac:dyDescent="0.2">
      <c r="A59" s="770" t="s">
        <v>4361</v>
      </c>
    </row>
    <row r="60" spans="1:6" x14ac:dyDescent="0.2">
      <c r="A60" s="734" t="s">
        <v>4362</v>
      </c>
    </row>
    <row r="62" spans="1:6" ht="15" x14ac:dyDescent="0.25">
      <c r="A62" s="738" t="s">
        <v>4363</v>
      </c>
      <c r="B62" s="739"/>
      <c r="C62" s="739"/>
      <c r="D62" s="739"/>
      <c r="E62" s="739"/>
      <c r="F62" s="739"/>
    </row>
    <row r="63" spans="1:6" x14ac:dyDescent="0.2">
      <c r="A63" t="s">
        <v>3090</v>
      </c>
      <c r="B63" t="s">
        <v>4364</v>
      </c>
    </row>
    <row r="64" spans="1:6" x14ac:dyDescent="0.2">
      <c r="A64" t="s">
        <v>4365</v>
      </c>
      <c r="B64" s="564">
        <v>8</v>
      </c>
      <c r="C64" t="s">
        <v>4366</v>
      </c>
    </row>
    <row r="65" spans="1:6" x14ac:dyDescent="0.2">
      <c r="A65" t="s">
        <v>4367</v>
      </c>
      <c r="B65" s="564">
        <v>12</v>
      </c>
    </row>
    <row r="66" spans="1:6" x14ac:dyDescent="0.2">
      <c r="A66" t="s">
        <v>4368</v>
      </c>
      <c r="B66" s="771">
        <f>180/B65</f>
        <v>15</v>
      </c>
    </row>
    <row r="67" spans="1:6" x14ac:dyDescent="0.2">
      <c r="A67" t="s">
        <v>4369</v>
      </c>
      <c r="B67" s="540">
        <f>B64*B65</f>
        <v>96</v>
      </c>
    </row>
    <row r="68" spans="1:6" x14ac:dyDescent="0.2">
      <c r="A68" t="s">
        <v>4370</v>
      </c>
      <c r="B68" s="596">
        <v>0.75</v>
      </c>
      <c r="C68" t="s">
        <v>4371</v>
      </c>
    </row>
    <row r="69" spans="1:6" x14ac:dyDescent="0.2">
      <c r="A69" t="s">
        <v>4372</v>
      </c>
      <c r="B69" s="596">
        <v>0.75</v>
      </c>
    </row>
    <row r="70" spans="1:6" x14ac:dyDescent="0.2">
      <c r="A70" t="s">
        <v>4373</v>
      </c>
      <c r="B70" s="481">
        <f>B5</f>
        <v>12</v>
      </c>
      <c r="C70" t="s">
        <v>4374</v>
      </c>
    </row>
    <row r="71" spans="1:6" x14ac:dyDescent="0.2">
      <c r="A71" t="s">
        <v>3809</v>
      </c>
      <c r="B71" t="s">
        <v>4375</v>
      </c>
    </row>
    <row r="72" spans="1:6" x14ac:dyDescent="0.2">
      <c r="A72" t="s">
        <v>3810</v>
      </c>
      <c r="B72" t="s">
        <v>4376</v>
      </c>
    </row>
    <row r="73" spans="1:6" x14ac:dyDescent="0.2">
      <c r="A73" t="s">
        <v>4100</v>
      </c>
      <c r="B73" t="s">
        <v>4377</v>
      </c>
    </row>
    <row r="75" spans="1:6" ht="15" x14ac:dyDescent="0.25">
      <c r="A75" s="735" t="s">
        <v>4378</v>
      </c>
      <c r="B75" s="736"/>
      <c r="C75" s="736"/>
      <c r="D75" s="736"/>
      <c r="E75" s="736"/>
      <c r="F75" s="736"/>
    </row>
    <row r="76" spans="1:6" x14ac:dyDescent="0.2">
      <c r="A76" t="s">
        <v>3090</v>
      </c>
      <c r="B76" t="s">
        <v>4379</v>
      </c>
    </row>
    <row r="77" spans="1:6" x14ac:dyDescent="0.2">
      <c r="A77" t="s">
        <v>4380</v>
      </c>
      <c r="B77" s="564">
        <v>16</v>
      </c>
    </row>
    <row r="78" spans="1:6" x14ac:dyDescent="0.2">
      <c r="A78" t="s">
        <v>4381</v>
      </c>
      <c r="B78" s="772">
        <f>180/B77</f>
        <v>11.25</v>
      </c>
    </row>
    <row r="79" spans="1:6" x14ac:dyDescent="0.2">
      <c r="A79" t="s">
        <v>4382</v>
      </c>
      <c r="B79" s="482">
        <f>PI()*B5/B77</f>
        <v>2.3561944901923448</v>
      </c>
      <c r="C79" t="s">
        <v>4383</v>
      </c>
    </row>
    <row r="80" spans="1:6" x14ac:dyDescent="0.2">
      <c r="A80" t="s">
        <v>4384</v>
      </c>
      <c r="B80" s="481">
        <f>B6+1</f>
        <v>6</v>
      </c>
      <c r="C80" t="s">
        <v>4385</v>
      </c>
    </row>
    <row r="81" spans="1:6" x14ac:dyDescent="0.2">
      <c r="A81" t="s">
        <v>4386</v>
      </c>
      <c r="B81" s="565">
        <v>1</v>
      </c>
      <c r="C81" t="s">
        <v>4387</v>
      </c>
    </row>
    <row r="82" spans="1:6" x14ac:dyDescent="0.2">
      <c r="A82" t="s">
        <v>3809</v>
      </c>
      <c r="B82" t="s">
        <v>4388</v>
      </c>
    </row>
    <row r="83" spans="1:6" x14ac:dyDescent="0.2">
      <c r="A83" t="s">
        <v>3810</v>
      </c>
      <c r="B83" t="s">
        <v>4389</v>
      </c>
    </row>
    <row r="84" spans="1:6" x14ac:dyDescent="0.2">
      <c r="A84" t="s">
        <v>4100</v>
      </c>
      <c r="B84" t="s">
        <v>4390</v>
      </c>
    </row>
    <row r="86" spans="1:6" ht="15" x14ac:dyDescent="0.25">
      <c r="A86" s="764" t="s">
        <v>4391</v>
      </c>
      <c r="B86" s="765"/>
      <c r="C86" s="765"/>
      <c r="D86" s="765"/>
      <c r="E86" s="765"/>
      <c r="F86" s="765"/>
    </row>
    <row r="87" spans="1:6" x14ac:dyDescent="0.2">
      <c r="A87" t="s">
        <v>3090</v>
      </c>
      <c r="B87" t="s">
        <v>4392</v>
      </c>
    </row>
    <row r="88" spans="1:6" x14ac:dyDescent="0.2">
      <c r="A88" t="s">
        <v>4393</v>
      </c>
      <c r="B88" s="481">
        <f>B5+1</f>
        <v>13</v>
      </c>
      <c r="C88" t="s">
        <v>4394</v>
      </c>
    </row>
    <row r="89" spans="1:6" x14ac:dyDescent="0.2">
      <c r="A89" t="s">
        <v>4395</v>
      </c>
      <c r="B89" s="481">
        <f>B5+1</f>
        <v>13</v>
      </c>
      <c r="C89" t="s">
        <v>4396</v>
      </c>
    </row>
    <row r="90" spans="1:6" x14ac:dyDescent="0.2">
      <c r="A90" t="s">
        <v>4397</v>
      </c>
      <c r="B90" t="s">
        <v>4398</v>
      </c>
    </row>
    <row r="91" spans="1:6" x14ac:dyDescent="0.2">
      <c r="A91" t="s">
        <v>4399</v>
      </c>
      <c r="B91" t="s">
        <v>4400</v>
      </c>
    </row>
    <row r="92" spans="1:6" x14ac:dyDescent="0.2">
      <c r="A92" t="s">
        <v>226</v>
      </c>
      <c r="B92" s="564" t="s">
        <v>4401</v>
      </c>
    </row>
    <row r="93" spans="1:6" x14ac:dyDescent="0.2">
      <c r="A93" t="s">
        <v>4402</v>
      </c>
      <c r="B93" t="s">
        <v>4403</v>
      </c>
    </row>
    <row r="94" spans="1:6" x14ac:dyDescent="0.2">
      <c r="A94" t="s">
        <v>3809</v>
      </c>
      <c r="B94" t="s">
        <v>4404</v>
      </c>
    </row>
    <row r="95" spans="1:6" x14ac:dyDescent="0.2">
      <c r="A95" t="s">
        <v>3810</v>
      </c>
      <c r="B95" t="s">
        <v>4405</v>
      </c>
    </row>
    <row r="96" spans="1:6" x14ac:dyDescent="0.2">
      <c r="A96" t="s">
        <v>4100</v>
      </c>
      <c r="B96" t="s">
        <v>4406</v>
      </c>
    </row>
    <row r="97" spans="1:5" x14ac:dyDescent="0.2">
      <c r="A97" t="s">
        <v>4407</v>
      </c>
      <c r="B97" s="756" t="s">
        <v>4408</v>
      </c>
    </row>
    <row r="99" spans="1:5" ht="15" x14ac:dyDescent="0.25">
      <c r="A99" s="747" t="s">
        <v>4409</v>
      </c>
      <c r="B99" s="748"/>
      <c r="C99" s="748"/>
      <c r="D99" s="748"/>
      <c r="E99" s="748"/>
    </row>
    <row r="100" spans="1:5" x14ac:dyDescent="0.2">
      <c r="A100" s="768"/>
      <c r="B100" s="768" t="s">
        <v>4410</v>
      </c>
      <c r="C100" s="768" t="s">
        <v>4411</v>
      </c>
      <c r="D100" s="768" t="s">
        <v>4412</v>
      </c>
    </row>
    <row r="101" spans="1:5" x14ac:dyDescent="0.2">
      <c r="A101" t="s">
        <v>4413</v>
      </c>
      <c r="B101" t="s">
        <v>4414</v>
      </c>
      <c r="C101" t="s">
        <v>4415</v>
      </c>
      <c r="D101" t="s">
        <v>4416</v>
      </c>
    </row>
    <row r="102" spans="1:5" x14ac:dyDescent="0.2">
      <c r="A102" t="s">
        <v>4417</v>
      </c>
      <c r="B102" t="s">
        <v>4418</v>
      </c>
      <c r="C102" t="s">
        <v>4419</v>
      </c>
      <c r="D102" t="s">
        <v>4420</v>
      </c>
    </row>
    <row r="103" spans="1:5" x14ac:dyDescent="0.2">
      <c r="A103" t="s">
        <v>4421</v>
      </c>
      <c r="B103" t="s">
        <v>4422</v>
      </c>
      <c r="C103" t="s">
        <v>4422</v>
      </c>
      <c r="D103" t="s">
        <v>4423</v>
      </c>
    </row>
    <row r="104" spans="1:5" x14ac:dyDescent="0.2">
      <c r="A104" t="s">
        <v>4424</v>
      </c>
      <c r="B104" t="s">
        <v>4425</v>
      </c>
      <c r="C104" t="s">
        <v>4425</v>
      </c>
      <c r="D104" t="s">
        <v>4426</v>
      </c>
    </row>
    <row r="105" spans="1:5" x14ac:dyDescent="0.2">
      <c r="A105" t="s">
        <v>4427</v>
      </c>
      <c r="B105" t="s">
        <v>4428</v>
      </c>
      <c r="C105" t="s">
        <v>4428</v>
      </c>
      <c r="D105" t="s">
        <v>4429</v>
      </c>
    </row>
    <row r="106" spans="1:5" x14ac:dyDescent="0.2">
      <c r="A106" t="s">
        <v>4430</v>
      </c>
      <c r="B106" t="s">
        <v>4073</v>
      </c>
      <c r="C106" t="s">
        <v>4247</v>
      </c>
      <c r="D106" t="s">
        <v>4431</v>
      </c>
    </row>
    <row r="107" spans="1:5" x14ac:dyDescent="0.2">
      <c r="A107" t="s">
        <v>4432</v>
      </c>
      <c r="B107" t="s">
        <v>4433</v>
      </c>
      <c r="C107" t="s">
        <v>4434</v>
      </c>
      <c r="D107" t="s">
        <v>4435</v>
      </c>
    </row>
    <row r="108" spans="1:5" x14ac:dyDescent="0.2">
      <c r="A108" t="s">
        <v>4436</v>
      </c>
      <c r="B108" t="s">
        <v>4437</v>
      </c>
      <c r="C108" t="s">
        <v>4438</v>
      </c>
      <c r="D108" t="s">
        <v>4439</v>
      </c>
    </row>
    <row r="109" spans="1:5" x14ac:dyDescent="0.2">
      <c r="A109" t="s">
        <v>4440</v>
      </c>
      <c r="B109" s="770" t="s">
        <v>4441</v>
      </c>
      <c r="C109" t="s">
        <v>4442</v>
      </c>
      <c r="D109" t="s">
        <v>4443</v>
      </c>
    </row>
    <row r="111" spans="1:5" ht="15" x14ac:dyDescent="0.25">
      <c r="A111" s="751" t="s">
        <v>1532</v>
      </c>
      <c r="B111" s="752"/>
      <c r="C111" s="752"/>
      <c r="D111" s="752"/>
    </row>
    <row r="112" spans="1:5" x14ac:dyDescent="0.2">
      <c r="A112" t="s">
        <v>4444</v>
      </c>
    </row>
    <row r="113" spans="1:1" x14ac:dyDescent="0.2">
      <c r="A113" t="s">
        <v>4445</v>
      </c>
    </row>
    <row r="114" spans="1:1" x14ac:dyDescent="0.2">
      <c r="A114" t="s">
        <v>4446</v>
      </c>
    </row>
    <row r="115" spans="1:1" x14ac:dyDescent="0.2">
      <c r="A115" t="s">
        <v>4447</v>
      </c>
    </row>
    <row r="116" spans="1:1" x14ac:dyDescent="0.2">
      <c r="A116" t="s">
        <v>4448</v>
      </c>
    </row>
    <row r="117" spans="1:1" x14ac:dyDescent="0.2">
      <c r="A117" t="s">
        <v>4449</v>
      </c>
    </row>
    <row r="118" spans="1:1" x14ac:dyDescent="0.2">
      <c r="A118" t="s">
        <v>4450</v>
      </c>
    </row>
    <row r="119" spans="1:1" x14ac:dyDescent="0.2">
      <c r="A119" t="s">
        <v>4451</v>
      </c>
    </row>
    <row r="120" spans="1:1" x14ac:dyDescent="0.2">
      <c r="A120" t="s">
        <v>4452</v>
      </c>
    </row>
    <row r="121" spans="1:1" x14ac:dyDescent="0.2">
      <c r="A121" t="s">
        <v>4453</v>
      </c>
    </row>
    <row r="124" spans="1:1" ht="18" x14ac:dyDescent="0.25">
      <c r="A124" s="833" t="s">
        <v>6912</v>
      </c>
    </row>
    <row r="125" spans="1:1" x14ac:dyDescent="0.2">
      <c r="A125" s="734" t="s">
        <v>6913</v>
      </c>
    </row>
    <row r="127" spans="1:1" x14ac:dyDescent="0.2">
      <c r="A127" s="609" t="s">
        <v>6355</v>
      </c>
    </row>
    <row r="128" spans="1:1" x14ac:dyDescent="0.2">
      <c r="A128" t="s">
        <v>6914</v>
      </c>
    </row>
    <row r="129" spans="1:1" x14ac:dyDescent="0.2">
      <c r="A129" t="s">
        <v>6915</v>
      </c>
    </row>
    <row r="131" spans="1:1" x14ac:dyDescent="0.2">
      <c r="A131" s="609" t="s">
        <v>6359</v>
      </c>
    </row>
    <row r="132" spans="1:1" x14ac:dyDescent="0.2">
      <c r="A132" t="s">
        <v>6916</v>
      </c>
    </row>
    <row r="133" spans="1:1" x14ac:dyDescent="0.2">
      <c r="A133" t="s">
        <v>6917</v>
      </c>
    </row>
    <row r="134" spans="1:1" x14ac:dyDescent="0.2">
      <c r="A134" t="s">
        <v>6918</v>
      </c>
    </row>
    <row r="135" spans="1:1" x14ac:dyDescent="0.2">
      <c r="A135" t="s">
        <v>6919</v>
      </c>
    </row>
    <row r="137" spans="1:1" x14ac:dyDescent="0.2">
      <c r="A137" s="609" t="s">
        <v>6882</v>
      </c>
    </row>
    <row r="138" spans="1:1" x14ac:dyDescent="0.2">
      <c r="A138" t="s">
        <v>6920</v>
      </c>
    </row>
    <row r="139" spans="1:1" x14ac:dyDescent="0.2">
      <c r="A139" t="s">
        <v>6921</v>
      </c>
    </row>
    <row r="140" spans="1:1" x14ac:dyDescent="0.2">
      <c r="A140" t="s">
        <v>6922</v>
      </c>
    </row>
    <row r="142" spans="1:1" x14ac:dyDescent="0.2">
      <c r="A142" s="609" t="s">
        <v>6658</v>
      </c>
    </row>
    <row r="143" spans="1:1" x14ac:dyDescent="0.2">
      <c r="A143" t="s">
        <v>6923</v>
      </c>
    </row>
    <row r="144" spans="1:1" x14ac:dyDescent="0.2">
      <c r="A144" t="s">
        <v>6924</v>
      </c>
    </row>
    <row r="146" spans="1:1" x14ac:dyDescent="0.2">
      <c r="A146" s="609" t="s">
        <v>6661</v>
      </c>
    </row>
    <row r="147" spans="1:1" x14ac:dyDescent="0.2">
      <c r="A147" t="s">
        <v>6925</v>
      </c>
    </row>
    <row r="148" spans="1:1" x14ac:dyDescent="0.2">
      <c r="A148" t="s">
        <v>6926</v>
      </c>
    </row>
    <row r="149" spans="1:1" x14ac:dyDescent="0.2">
      <c r="A149" t="s">
        <v>6927</v>
      </c>
    </row>
    <row r="151" spans="1:1" x14ac:dyDescent="0.2">
      <c r="A151" s="609" t="s">
        <v>6682</v>
      </c>
    </row>
    <row r="152" spans="1:1" x14ac:dyDescent="0.2">
      <c r="A152" t="s">
        <v>6928</v>
      </c>
    </row>
    <row r="158" spans="1:1" ht="18" x14ac:dyDescent="0.25">
      <c r="A158" s="838" t="s">
        <v>7370</v>
      </c>
    </row>
    <row r="159" spans="1:1" x14ac:dyDescent="0.2">
      <c r="A159" s="734" t="s">
        <v>7246</v>
      </c>
    </row>
    <row r="161" spans="1:1" x14ac:dyDescent="0.2">
      <c r="A161" s="839" t="s">
        <v>7353</v>
      </c>
    </row>
    <row r="162" spans="1:1" x14ac:dyDescent="0.2">
      <c r="A162" s="842" t="s">
        <v>7371</v>
      </c>
    </row>
    <row r="163" spans="1:1" x14ac:dyDescent="0.2">
      <c r="A163" t="s">
        <v>7372</v>
      </c>
    </row>
    <row r="164" spans="1:1" x14ac:dyDescent="0.2">
      <c r="A164" t="s">
        <v>7373</v>
      </c>
    </row>
    <row r="166" spans="1:1" x14ac:dyDescent="0.2">
      <c r="A166" s="839" t="s">
        <v>7356</v>
      </c>
    </row>
    <row r="167" spans="1:1" x14ac:dyDescent="0.2">
      <c r="A167" s="842" t="s">
        <v>7374</v>
      </c>
    </row>
    <row r="168" spans="1:1" x14ac:dyDescent="0.2">
      <c r="A168" t="s">
        <v>7375</v>
      </c>
    </row>
    <row r="170" spans="1:1" x14ac:dyDescent="0.2">
      <c r="A170" s="839" t="s">
        <v>7247</v>
      </c>
    </row>
    <row r="171" spans="1:1" x14ac:dyDescent="0.2">
      <c r="A171" t="s">
        <v>7376</v>
      </c>
    </row>
  </sheetData>
  <pageMargins left="0.7" right="0.7" top="0.75" bottom="0.75" header="0.3" footer="0.3"/>
  <legacyDrawing r:id="rId1"/>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BDB48-3DD0-4CD9-BBA6-D68F436A4100}">
  <dimension ref="A1:I149"/>
  <sheetViews>
    <sheetView topLeftCell="A15" workbookViewId="0">
      <pane ySplit="3" topLeftCell="A18" activePane="bottomLeft" state="frozen"/>
      <selection activeCell="A15" sqref="A15"/>
      <selection pane="bottomLeft" activeCell="L58" sqref="L58"/>
    </sheetView>
  </sheetViews>
  <sheetFormatPr defaultRowHeight="12.75" x14ac:dyDescent="0.2"/>
  <cols>
    <col min="1" max="1" width="137.140625" customWidth="1"/>
    <col min="2" max="2" width="38.140625" customWidth="1"/>
    <col min="3" max="3" width="19" customWidth="1"/>
    <col min="4" max="4" width="30.42578125" customWidth="1"/>
    <col min="5" max="5" width="38.140625" customWidth="1"/>
    <col min="6" max="6" width="22.85546875" customWidth="1"/>
    <col min="7" max="8" width="19" customWidth="1"/>
    <col min="9" max="9" width="13.28515625" customWidth="1"/>
  </cols>
  <sheetData>
    <row r="1" spans="1:4" ht="18" x14ac:dyDescent="0.25">
      <c r="A1" s="470" t="s">
        <v>4471</v>
      </c>
    </row>
    <row r="2" spans="1:4" x14ac:dyDescent="0.2">
      <c r="A2" s="734" t="s">
        <v>4472</v>
      </c>
    </row>
    <row r="4" spans="1:4" ht="15" x14ac:dyDescent="0.25">
      <c r="A4" s="735" t="s">
        <v>1443</v>
      </c>
      <c r="B4" s="736"/>
      <c r="C4" s="736"/>
      <c r="D4" s="736"/>
    </row>
    <row r="5" spans="1:4" x14ac:dyDescent="0.2">
      <c r="A5" t="s">
        <v>4473</v>
      </c>
      <c r="B5" s="596">
        <v>1.5</v>
      </c>
      <c r="C5" t="s">
        <v>4474</v>
      </c>
    </row>
    <row r="6" spans="1:4" x14ac:dyDescent="0.2">
      <c r="A6" t="s">
        <v>3006</v>
      </c>
      <c r="B6" s="596">
        <v>9.8000000000000004E-2</v>
      </c>
    </row>
    <row r="7" spans="1:4" x14ac:dyDescent="0.2">
      <c r="A7" t="s">
        <v>4475</v>
      </c>
      <c r="B7" s="482">
        <f>B5-2*B6</f>
        <v>1.304</v>
      </c>
    </row>
    <row r="8" spans="1:4" x14ac:dyDescent="0.2">
      <c r="A8" t="s">
        <v>1188</v>
      </c>
      <c r="B8" s="564" t="s">
        <v>4476</v>
      </c>
      <c r="C8" t="s">
        <v>4477</v>
      </c>
    </row>
    <row r="9" spans="1:4" x14ac:dyDescent="0.2">
      <c r="A9" t="s">
        <v>4478</v>
      </c>
      <c r="B9" s="775">
        <v>110000000000</v>
      </c>
    </row>
    <row r="10" spans="1:4" x14ac:dyDescent="0.2">
      <c r="A10" t="s">
        <v>4479</v>
      </c>
      <c r="B10" s="679">
        <v>8500</v>
      </c>
    </row>
    <row r="11" spans="1:4" x14ac:dyDescent="0.2">
      <c r="A11" t="s">
        <v>4185</v>
      </c>
      <c r="B11" s="737">
        <v>440</v>
      </c>
    </row>
    <row r="12" spans="1:4" x14ac:dyDescent="0.2">
      <c r="A12" t="s">
        <v>1414</v>
      </c>
      <c r="B12" s="564" t="s">
        <v>4480</v>
      </c>
      <c r="C12" t="s">
        <v>4481</v>
      </c>
    </row>
    <row r="13" spans="1:4" x14ac:dyDescent="0.2">
      <c r="A13" t="s">
        <v>4482</v>
      </c>
      <c r="B13" s="737">
        <v>18</v>
      </c>
    </row>
    <row r="14" spans="1:4" x14ac:dyDescent="0.2">
      <c r="A14" t="s">
        <v>4483</v>
      </c>
      <c r="B14" s="564" t="s">
        <v>4484</v>
      </c>
      <c r="C14" t="s">
        <v>4485</v>
      </c>
    </row>
    <row r="15" spans="1:4" x14ac:dyDescent="0.2">
      <c r="A15" t="s">
        <v>4486</v>
      </c>
      <c r="B15" s="565">
        <v>-0.5</v>
      </c>
    </row>
    <row r="17" spans="1:9" ht="15" x14ac:dyDescent="0.25">
      <c r="A17" s="738" t="s">
        <v>1242</v>
      </c>
      <c r="B17" s="739"/>
      <c r="C17" s="739"/>
      <c r="D17" s="739"/>
      <c r="E17" s="739"/>
      <c r="F17" s="739"/>
      <c r="G17" s="739"/>
    </row>
    <row r="18" spans="1:9" x14ac:dyDescent="0.2">
      <c r="A18" s="484" t="s">
        <v>1188</v>
      </c>
      <c r="B18" s="484" t="s">
        <v>1243</v>
      </c>
      <c r="C18" s="484" t="s">
        <v>1244</v>
      </c>
      <c r="D18" s="484" t="s">
        <v>4189</v>
      </c>
      <c r="E18" s="484" t="s">
        <v>4487</v>
      </c>
      <c r="F18" s="484" t="s">
        <v>4488</v>
      </c>
      <c r="G18" s="484" t="s">
        <v>2</v>
      </c>
    </row>
    <row r="19" spans="1:9" x14ac:dyDescent="0.2">
      <c r="A19" t="s">
        <v>4489</v>
      </c>
      <c r="B19">
        <v>110</v>
      </c>
      <c r="C19">
        <v>8500</v>
      </c>
      <c r="D19" t="s">
        <v>4490</v>
      </c>
      <c r="E19" t="s">
        <v>4491</v>
      </c>
      <c r="F19" t="s">
        <v>4492</v>
      </c>
      <c r="G19" t="s">
        <v>4493</v>
      </c>
    </row>
    <row r="20" spans="1:9" x14ac:dyDescent="0.2">
      <c r="A20" t="s">
        <v>4494</v>
      </c>
      <c r="B20">
        <v>200</v>
      </c>
      <c r="C20">
        <v>7850</v>
      </c>
      <c r="D20" t="s">
        <v>4495</v>
      </c>
      <c r="E20" t="s">
        <v>4496</v>
      </c>
      <c r="F20" t="s">
        <v>4497</v>
      </c>
      <c r="G20" t="s">
        <v>4498</v>
      </c>
    </row>
    <row r="21" spans="1:9" x14ac:dyDescent="0.2">
      <c r="A21" t="s">
        <v>4196</v>
      </c>
      <c r="B21">
        <v>193</v>
      </c>
      <c r="C21">
        <v>8000</v>
      </c>
      <c r="D21" t="s">
        <v>4499</v>
      </c>
      <c r="E21" t="s">
        <v>4500</v>
      </c>
      <c r="F21" t="s">
        <v>4501</v>
      </c>
      <c r="G21" t="s">
        <v>4502</v>
      </c>
    </row>
    <row r="22" spans="1:9" x14ac:dyDescent="0.2">
      <c r="A22" t="s">
        <v>4503</v>
      </c>
      <c r="B22">
        <v>69</v>
      </c>
      <c r="C22">
        <v>2700</v>
      </c>
      <c r="D22" t="s">
        <v>4504</v>
      </c>
      <c r="E22" t="s">
        <v>4500</v>
      </c>
      <c r="F22" t="s">
        <v>4501</v>
      </c>
      <c r="G22" t="s">
        <v>4505</v>
      </c>
    </row>
    <row r="23" spans="1:9" x14ac:dyDescent="0.2">
      <c r="A23" t="s">
        <v>4506</v>
      </c>
      <c r="B23">
        <v>117</v>
      </c>
      <c r="C23">
        <v>8940</v>
      </c>
      <c r="D23" t="s">
        <v>4507</v>
      </c>
      <c r="E23" t="s">
        <v>4508</v>
      </c>
      <c r="F23" t="s">
        <v>4509</v>
      </c>
      <c r="G23" t="s">
        <v>4510</v>
      </c>
    </row>
    <row r="25" spans="1:9" ht="15" x14ac:dyDescent="0.25">
      <c r="A25" s="764" t="s">
        <v>4511</v>
      </c>
      <c r="B25" s="765"/>
      <c r="C25" s="765"/>
      <c r="D25" s="765"/>
      <c r="E25" s="765"/>
      <c r="F25" s="765"/>
      <c r="G25" s="765"/>
      <c r="H25" s="765"/>
      <c r="I25" s="765"/>
    </row>
    <row r="26" spans="1:9" x14ac:dyDescent="0.2">
      <c r="A26" t="s">
        <v>4512</v>
      </c>
      <c r="B26">
        <v>4.7300000000000004</v>
      </c>
    </row>
    <row r="27" spans="1:9" x14ac:dyDescent="0.2">
      <c r="A27" t="s">
        <v>4513</v>
      </c>
      <c r="B27" s="468">
        <f>PI()/64*(B5^4-B7^4)</f>
        <v>0.10657290668129887</v>
      </c>
    </row>
    <row r="28" spans="1:9" x14ac:dyDescent="0.2">
      <c r="A28" t="s">
        <v>4514</v>
      </c>
      <c r="B28" s="648">
        <f>PI()/4*(B5^2-B7^2)</f>
        <v>0.43164226423262309</v>
      </c>
    </row>
    <row r="29" spans="1:9" x14ac:dyDescent="0.2">
      <c r="A29" t="s">
        <v>4515</v>
      </c>
      <c r="B29" s="482">
        <f>SQRT(B27/B28)</f>
        <v>0.49689133620943726</v>
      </c>
    </row>
    <row r="30" spans="1:9" x14ac:dyDescent="0.2">
      <c r="A30" t="s">
        <v>4520</v>
      </c>
      <c r="B30" s="776">
        <f>B5*0.0254</f>
        <v>3.8099999999999995E-2</v>
      </c>
    </row>
    <row r="31" spans="1:9" x14ac:dyDescent="0.2">
      <c r="A31" s="734" t="s">
        <v>4521</v>
      </c>
      <c r="B31" s="776">
        <f>B7*0.0254</f>
        <v>3.3121600000000001E-2</v>
      </c>
    </row>
    <row r="33" spans="1:9" x14ac:dyDescent="0.2">
      <c r="A33" s="713" t="s">
        <v>610</v>
      </c>
      <c r="B33" s="713" t="s">
        <v>785</v>
      </c>
      <c r="C33" s="713" t="s">
        <v>1272</v>
      </c>
      <c r="D33" s="713" t="s">
        <v>1368</v>
      </c>
      <c r="E33" s="713" t="s">
        <v>4516</v>
      </c>
      <c r="F33" s="713" t="s">
        <v>4343</v>
      </c>
      <c r="G33" s="713" t="s">
        <v>4517</v>
      </c>
      <c r="H33" s="713" t="s">
        <v>4518</v>
      </c>
      <c r="I33" s="713" t="s">
        <v>4519</v>
      </c>
    </row>
    <row r="34" spans="1:9" x14ac:dyDescent="0.2">
      <c r="A34">
        <v>1</v>
      </c>
      <c r="B34" t="s">
        <v>244</v>
      </c>
      <c r="C34">
        <v>60</v>
      </c>
      <c r="D34" s="481">
        <f>$B$11*2^((C34-69)/12)</f>
        <v>261.62556530059862</v>
      </c>
      <c r="E34" s="481">
        <f>SQRT($B$26^2/(2*PI()*D34)*SQRT($B$9*PI()/64*($B$30^4-$B$31^4)/($B$10*PI()/4*($B$30^2-$B$31^2))))/0.0254</f>
        <v>30.948414901126977</v>
      </c>
      <c r="F34" s="481">
        <f>E34+$B$15</f>
        <v>30.448414901126977</v>
      </c>
      <c r="G34" s="481">
        <f>F34*2.54</f>
        <v>77.338973848862523</v>
      </c>
      <c r="H34" s="481">
        <f>F34*0.2242</f>
        <v>6.8265346208326685</v>
      </c>
      <c r="I34" t="s">
        <v>4522</v>
      </c>
    </row>
    <row r="35" spans="1:9" x14ac:dyDescent="0.2">
      <c r="A35">
        <v>2</v>
      </c>
      <c r="B35" t="s">
        <v>1284</v>
      </c>
      <c r="C35">
        <v>61</v>
      </c>
      <c r="D35" s="481">
        <f t="shared" ref="D35:D51" si="0">$B$11*2^((C35-69)/12)</f>
        <v>277.18263097687208</v>
      </c>
      <c r="E35" s="481">
        <f t="shared" ref="E35:E51" si="1">SQRT($B$26^2/(2*PI()*D35)*SQRT($B$9*PI()/64*($B$30^4-$B$31^4)/($B$10*PI()/4*($B$30^2-$B$31^2))))/0.0254</f>
        <v>30.067373604519076</v>
      </c>
      <c r="F35" s="481">
        <f t="shared" ref="F35:F51" si="2">E35+$B$15</f>
        <v>29.567373604519076</v>
      </c>
      <c r="G35" s="481">
        <f t="shared" ref="G35:G51" si="3">F35*2.54</f>
        <v>75.101128955478458</v>
      </c>
      <c r="H35" s="481">
        <f t="shared" ref="H35:H51" si="4">F35*0.2242</f>
        <v>6.6290051621331774</v>
      </c>
      <c r="I35" t="s">
        <v>4523</v>
      </c>
    </row>
    <row r="36" spans="1:9" x14ac:dyDescent="0.2">
      <c r="A36">
        <v>3</v>
      </c>
      <c r="B36" t="s">
        <v>24</v>
      </c>
      <c r="C36">
        <v>62</v>
      </c>
      <c r="D36" s="481">
        <f t="shared" si="0"/>
        <v>293.66476791740757</v>
      </c>
      <c r="E36" s="481">
        <f t="shared" si="1"/>
        <v>29.21141384338911</v>
      </c>
      <c r="F36" s="481">
        <f t="shared" si="2"/>
        <v>28.71141384338911</v>
      </c>
      <c r="G36" s="481">
        <f t="shared" si="3"/>
        <v>72.926991162208338</v>
      </c>
      <c r="H36" s="481">
        <f t="shared" si="4"/>
        <v>6.4370989836878385</v>
      </c>
      <c r="I36" t="s">
        <v>4522</v>
      </c>
    </row>
    <row r="37" spans="1:9" x14ac:dyDescent="0.2">
      <c r="A37">
        <v>4</v>
      </c>
      <c r="B37" t="s">
        <v>1285</v>
      </c>
      <c r="C37">
        <v>63</v>
      </c>
      <c r="D37" s="481">
        <f t="shared" si="0"/>
        <v>311.12698372208087</v>
      </c>
      <c r="E37" s="481">
        <f t="shared" si="1"/>
        <v>28.379821595109139</v>
      </c>
      <c r="F37" s="481">
        <f t="shared" si="2"/>
        <v>27.879821595109139</v>
      </c>
      <c r="G37" s="481">
        <f t="shared" si="3"/>
        <v>70.814746851577212</v>
      </c>
      <c r="H37" s="481">
        <f t="shared" si="4"/>
        <v>6.2506560016234696</v>
      </c>
      <c r="I37" t="s">
        <v>4523</v>
      </c>
    </row>
    <row r="38" spans="1:9" x14ac:dyDescent="0.2">
      <c r="A38">
        <v>5</v>
      </c>
      <c r="B38" t="s">
        <v>25</v>
      </c>
      <c r="C38">
        <v>64</v>
      </c>
      <c r="D38" s="481">
        <f t="shared" si="0"/>
        <v>329.62755691286992</v>
      </c>
      <c r="E38" s="481">
        <f t="shared" si="1"/>
        <v>27.571903163889399</v>
      </c>
      <c r="F38" s="481">
        <f t="shared" si="2"/>
        <v>27.071903163889399</v>
      </c>
      <c r="G38" s="481">
        <f t="shared" si="3"/>
        <v>68.762634036279067</v>
      </c>
      <c r="H38" s="481">
        <f t="shared" si="4"/>
        <v>6.0695206893440039</v>
      </c>
      <c r="I38" t="s">
        <v>4522</v>
      </c>
    </row>
    <row r="39" spans="1:9" x14ac:dyDescent="0.2">
      <c r="A39">
        <v>6</v>
      </c>
      <c r="B39" t="s">
        <v>11</v>
      </c>
      <c r="C39">
        <v>65</v>
      </c>
      <c r="D39" s="481">
        <f t="shared" si="0"/>
        <v>349.22823143300388</v>
      </c>
      <c r="E39" s="481">
        <f t="shared" si="1"/>
        <v>26.786984602112721</v>
      </c>
      <c r="F39" s="481">
        <f t="shared" si="2"/>
        <v>26.286984602112721</v>
      </c>
      <c r="G39" s="481">
        <f t="shared" si="3"/>
        <v>66.768940889366306</v>
      </c>
      <c r="H39" s="481">
        <f t="shared" si="4"/>
        <v>5.8935419477936719</v>
      </c>
      <c r="I39" t="s">
        <v>4522</v>
      </c>
    </row>
    <row r="40" spans="1:9" x14ac:dyDescent="0.2">
      <c r="A40">
        <v>7</v>
      </c>
      <c r="B40" t="s">
        <v>424</v>
      </c>
      <c r="C40">
        <v>66</v>
      </c>
      <c r="D40" s="481">
        <f t="shared" si="0"/>
        <v>369.99442271163446</v>
      </c>
      <c r="E40" s="481">
        <f t="shared" si="1"/>
        <v>26.024411148142317</v>
      </c>
      <c r="F40" s="481">
        <f t="shared" si="2"/>
        <v>25.524411148142317</v>
      </c>
      <c r="G40" s="481">
        <f t="shared" si="3"/>
        <v>64.832004316281484</v>
      </c>
      <c r="H40" s="481">
        <f t="shared" si="4"/>
        <v>5.7225729794135081</v>
      </c>
      <c r="I40" t="s">
        <v>4523</v>
      </c>
    </row>
    <row r="41" spans="1:9" x14ac:dyDescent="0.2">
      <c r="A41">
        <v>8</v>
      </c>
      <c r="B41" t="s">
        <v>27</v>
      </c>
      <c r="C41">
        <v>67</v>
      </c>
      <c r="D41" s="481">
        <f t="shared" si="0"/>
        <v>391.99543598174927</v>
      </c>
      <c r="E41" s="481">
        <f t="shared" si="1"/>
        <v>25.283546680134251</v>
      </c>
      <c r="F41" s="481">
        <f t="shared" si="2"/>
        <v>24.783546680134251</v>
      </c>
      <c r="G41" s="481">
        <f t="shared" si="3"/>
        <v>62.950208567540997</v>
      </c>
      <c r="H41" s="481">
        <f t="shared" si="4"/>
        <v>5.5564711656860997</v>
      </c>
      <c r="I41" t="s">
        <v>4522</v>
      </c>
    </row>
    <row r="42" spans="1:9" x14ac:dyDescent="0.2">
      <c r="A42">
        <v>9</v>
      </c>
      <c r="B42" t="s">
        <v>1286</v>
      </c>
      <c r="C42">
        <v>68</v>
      </c>
      <c r="D42" s="481">
        <f t="shared" si="0"/>
        <v>415.30469757994513</v>
      </c>
      <c r="E42" s="481">
        <f t="shared" si="1"/>
        <v>24.563773185398635</v>
      </c>
      <c r="F42" s="481">
        <f t="shared" si="2"/>
        <v>24.063773185398635</v>
      </c>
      <c r="G42" s="481">
        <f t="shared" si="3"/>
        <v>61.121983890912531</v>
      </c>
      <c r="H42" s="481">
        <f t="shared" si="4"/>
        <v>5.3950979481663737</v>
      </c>
      <c r="I42" t="s">
        <v>4523</v>
      </c>
    </row>
    <row r="43" spans="1:9" x14ac:dyDescent="0.2">
      <c r="A43">
        <v>10</v>
      </c>
      <c r="B43" t="s">
        <v>29</v>
      </c>
      <c r="C43">
        <v>69</v>
      </c>
      <c r="D43" s="481">
        <f t="shared" si="0"/>
        <v>440</v>
      </c>
      <c r="E43" s="481">
        <f t="shared" si="1"/>
        <v>23.864490244867223</v>
      </c>
      <c r="F43" s="481">
        <f t="shared" si="2"/>
        <v>23.364490244867223</v>
      </c>
      <c r="G43" s="481">
        <f t="shared" si="3"/>
        <v>59.345805221962749</v>
      </c>
      <c r="H43" s="481">
        <f t="shared" si="4"/>
        <v>5.2383187128992317</v>
      </c>
      <c r="I43" t="s">
        <v>4522</v>
      </c>
    </row>
    <row r="44" spans="1:9" x14ac:dyDescent="0.2">
      <c r="A44">
        <v>11</v>
      </c>
      <c r="B44" t="s">
        <v>1287</v>
      </c>
      <c r="C44">
        <v>70</v>
      </c>
      <c r="D44" s="481">
        <f t="shared" si="0"/>
        <v>466.16376151808993</v>
      </c>
      <c r="E44" s="481">
        <f t="shared" si="1"/>
        <v>23.185114532237151</v>
      </c>
      <c r="F44" s="481">
        <f t="shared" si="2"/>
        <v>22.685114532237151</v>
      </c>
      <c r="G44" s="481">
        <f t="shared" si="3"/>
        <v>57.620190911882361</v>
      </c>
      <c r="H44" s="481">
        <f t="shared" si="4"/>
        <v>5.0860026781275698</v>
      </c>
      <c r="I44" t="s">
        <v>4523</v>
      </c>
    </row>
    <row r="45" spans="1:9" x14ac:dyDescent="0.2">
      <c r="A45">
        <v>12</v>
      </c>
      <c r="B45" t="s">
        <v>31</v>
      </c>
      <c r="C45">
        <v>71</v>
      </c>
      <c r="D45" s="481">
        <f t="shared" si="0"/>
        <v>493.88330125612413</v>
      </c>
      <c r="E45" s="481">
        <f t="shared" si="1"/>
        <v>22.525079327373032</v>
      </c>
      <c r="F45" s="481">
        <f t="shared" si="2"/>
        <v>22.025079327373032</v>
      </c>
      <c r="G45" s="481">
        <f t="shared" si="3"/>
        <v>55.943701491527499</v>
      </c>
      <c r="H45" s="481">
        <f t="shared" si="4"/>
        <v>4.9380227851970337</v>
      </c>
      <c r="I45" t="s">
        <v>4522</v>
      </c>
    </row>
    <row r="46" spans="1:9" x14ac:dyDescent="0.2">
      <c r="A46">
        <v>13</v>
      </c>
      <c r="B46" t="s">
        <v>32</v>
      </c>
      <c r="C46">
        <v>72</v>
      </c>
      <c r="D46" s="481">
        <f t="shared" si="0"/>
        <v>523.25113060119725</v>
      </c>
      <c r="E46" s="481">
        <f t="shared" si="1"/>
        <v>21.883834043561684</v>
      </c>
      <c r="F46" s="481">
        <f t="shared" si="2"/>
        <v>21.383834043561684</v>
      </c>
      <c r="G46" s="481">
        <f t="shared" si="3"/>
        <v>54.31493847064668</v>
      </c>
      <c r="H46" s="481">
        <f t="shared" si="4"/>
        <v>4.7942555925665298</v>
      </c>
      <c r="I46" t="s">
        <v>4522</v>
      </c>
    </row>
    <row r="47" spans="1:9" x14ac:dyDescent="0.2">
      <c r="A47">
        <v>14</v>
      </c>
      <c r="B47" t="s">
        <v>1288</v>
      </c>
      <c r="C47">
        <v>73</v>
      </c>
      <c r="D47" s="481">
        <f t="shared" si="0"/>
        <v>554.36526195374415</v>
      </c>
      <c r="E47" s="481">
        <f t="shared" si="1"/>
        <v>21.260843768224845</v>
      </c>
      <c r="F47" s="481">
        <f t="shared" si="2"/>
        <v>20.760843768224845</v>
      </c>
      <c r="G47" s="481">
        <f t="shared" si="3"/>
        <v>52.732543171291105</v>
      </c>
      <c r="H47" s="481">
        <f t="shared" si="4"/>
        <v>4.6545811728360107</v>
      </c>
      <c r="I47" t="s">
        <v>4523</v>
      </c>
    </row>
    <row r="48" spans="1:9" x14ac:dyDescent="0.2">
      <c r="A48">
        <v>15</v>
      </c>
      <c r="B48" t="s">
        <v>34</v>
      </c>
      <c r="C48">
        <v>74</v>
      </c>
      <c r="D48" s="481">
        <f t="shared" si="0"/>
        <v>587.32953583481515</v>
      </c>
      <c r="E48" s="481">
        <f t="shared" si="1"/>
        <v>20.655588816707031</v>
      </c>
      <c r="F48" s="481">
        <f t="shared" si="2"/>
        <v>20.155588816707031</v>
      </c>
      <c r="G48" s="481">
        <f t="shared" si="3"/>
        <v>51.195195594435859</v>
      </c>
      <c r="H48" s="481">
        <f t="shared" si="4"/>
        <v>4.5188830127057162</v>
      </c>
      <c r="I48" t="s">
        <v>4522</v>
      </c>
    </row>
    <row r="49" spans="1:9" x14ac:dyDescent="0.2">
      <c r="A49">
        <v>16</v>
      </c>
      <c r="B49" t="s">
        <v>1289</v>
      </c>
      <c r="C49">
        <v>75</v>
      </c>
      <c r="D49" s="481">
        <f t="shared" si="0"/>
        <v>622.25396744416184</v>
      </c>
      <c r="E49" s="481">
        <f t="shared" si="1"/>
        <v>20.067564298766094</v>
      </c>
      <c r="F49" s="481">
        <f t="shared" si="2"/>
        <v>19.567564298766094</v>
      </c>
      <c r="G49" s="481">
        <f t="shared" si="3"/>
        <v>49.701613318865881</v>
      </c>
      <c r="H49" s="481">
        <f t="shared" si="4"/>
        <v>4.3870479157833584</v>
      </c>
      <c r="I49" t="s">
        <v>4523</v>
      </c>
    </row>
    <row r="50" spans="1:9" x14ac:dyDescent="0.2">
      <c r="A50">
        <v>17</v>
      </c>
      <c r="B50" t="s">
        <v>36</v>
      </c>
      <c r="C50">
        <v>76</v>
      </c>
      <c r="D50" s="481">
        <f t="shared" si="0"/>
        <v>659.25511382573984</v>
      </c>
      <c r="E50" s="481">
        <f t="shared" si="1"/>
        <v>19.496279697405022</v>
      </c>
      <c r="F50" s="481">
        <f t="shared" si="2"/>
        <v>18.996279697405022</v>
      </c>
      <c r="G50" s="481">
        <f t="shared" si="3"/>
        <v>48.250550431408755</v>
      </c>
      <c r="H50" s="481">
        <f t="shared" si="4"/>
        <v>4.2589659081582063</v>
      </c>
      <c r="I50" t="s">
        <v>4522</v>
      </c>
    </row>
    <row r="51" spans="1:9" x14ac:dyDescent="0.2">
      <c r="A51">
        <v>18</v>
      </c>
      <c r="B51" t="s">
        <v>37</v>
      </c>
      <c r="C51">
        <v>77</v>
      </c>
      <c r="D51" s="481">
        <f t="shared" si="0"/>
        <v>698.45646286600777</v>
      </c>
      <c r="E51" s="481">
        <f t="shared" si="1"/>
        <v>18.941258459693536</v>
      </c>
      <c r="F51" s="481">
        <f t="shared" si="2"/>
        <v>18.441258459693536</v>
      </c>
      <c r="G51" s="481">
        <f t="shared" si="3"/>
        <v>46.840796487621581</v>
      </c>
      <c r="H51" s="481">
        <f t="shared" si="4"/>
        <v>4.1345301466632911</v>
      </c>
      <c r="I51" t="s">
        <v>4522</v>
      </c>
    </row>
    <row r="53" spans="1:9" ht="15" x14ac:dyDescent="0.25">
      <c r="A53" s="743" t="s">
        <v>4524</v>
      </c>
      <c r="B53" s="744"/>
      <c r="C53" s="744"/>
      <c r="D53" s="744"/>
      <c r="E53" s="744"/>
      <c r="F53" s="744"/>
    </row>
    <row r="54" spans="1:9" x14ac:dyDescent="0.2">
      <c r="A54" t="s">
        <v>4525</v>
      </c>
      <c r="B54" s="737">
        <v>72</v>
      </c>
      <c r="C54" t="s">
        <v>4526</v>
      </c>
    </row>
    <row r="55" spans="1:9" x14ac:dyDescent="0.2">
      <c r="A55" t="s">
        <v>4527</v>
      </c>
      <c r="B55" s="540">
        <f>B13*2+6</f>
        <v>42</v>
      </c>
      <c r="C55" t="s">
        <v>4528</v>
      </c>
    </row>
    <row r="56" spans="1:9" x14ac:dyDescent="0.2">
      <c r="A56" t="s">
        <v>4529</v>
      </c>
      <c r="B56" s="737">
        <v>28</v>
      </c>
      <c r="C56" t="s">
        <v>4530</v>
      </c>
    </row>
    <row r="57" spans="1:9" x14ac:dyDescent="0.2">
      <c r="A57" t="s">
        <v>4531</v>
      </c>
      <c r="B57" s="540">
        <f>B54</f>
        <v>72</v>
      </c>
    </row>
    <row r="58" spans="1:9" x14ac:dyDescent="0.2">
      <c r="A58" t="s">
        <v>4532</v>
      </c>
      <c r="B58" s="540">
        <f>B54+8</f>
        <v>80</v>
      </c>
      <c r="C58" t="s">
        <v>4533</v>
      </c>
    </row>
    <row r="59" spans="1:9" x14ac:dyDescent="0.2">
      <c r="A59" t="s">
        <v>4534</v>
      </c>
      <c r="B59" s="565">
        <v>2</v>
      </c>
    </row>
    <row r="60" spans="1:9" x14ac:dyDescent="0.2">
      <c r="A60" t="s">
        <v>3808</v>
      </c>
      <c r="B60" t="s">
        <v>4535</v>
      </c>
    </row>
    <row r="61" spans="1:9" x14ac:dyDescent="0.2">
      <c r="A61" t="s">
        <v>4536</v>
      </c>
      <c r="B61" t="s">
        <v>4537</v>
      </c>
    </row>
    <row r="62" spans="1:9" x14ac:dyDescent="0.2">
      <c r="A62" t="s">
        <v>4538</v>
      </c>
      <c r="B62" t="s">
        <v>4539</v>
      </c>
      <c r="C62" t="s">
        <v>4540</v>
      </c>
    </row>
    <row r="63" spans="1:9" x14ac:dyDescent="0.2">
      <c r="A63" t="s">
        <v>4541</v>
      </c>
      <c r="B63" t="s">
        <v>4542</v>
      </c>
    </row>
    <row r="65" spans="1:6" ht="15" x14ac:dyDescent="0.25">
      <c r="A65" s="735" t="s">
        <v>1543</v>
      </c>
      <c r="B65" s="736"/>
      <c r="C65" s="736"/>
      <c r="D65" s="736"/>
      <c r="E65" s="736"/>
      <c r="F65" s="736"/>
    </row>
    <row r="66" spans="1:6" x14ac:dyDescent="0.2">
      <c r="A66" s="475" t="s">
        <v>610</v>
      </c>
      <c r="B66" s="475" t="s">
        <v>1545</v>
      </c>
      <c r="C66" s="475" t="s">
        <v>1546</v>
      </c>
      <c r="D66" s="475" t="s">
        <v>4543</v>
      </c>
      <c r="E66" s="475" t="s">
        <v>4544</v>
      </c>
      <c r="F66" s="475" t="s">
        <v>1549</v>
      </c>
    </row>
    <row r="67" spans="1:6" x14ac:dyDescent="0.2">
      <c r="A67">
        <v>1</v>
      </c>
      <c r="B67" t="s">
        <v>4545</v>
      </c>
      <c r="C67" t="s">
        <v>4546</v>
      </c>
      <c r="D67" t="s">
        <v>4547</v>
      </c>
      <c r="E67" t="s">
        <v>4548</v>
      </c>
      <c r="F67" s="564" t="s">
        <v>4549</v>
      </c>
    </row>
    <row r="68" spans="1:6" x14ac:dyDescent="0.2">
      <c r="A68">
        <v>2</v>
      </c>
      <c r="B68" t="s">
        <v>4550</v>
      </c>
      <c r="C68">
        <v>18</v>
      </c>
      <c r="D68" t="s">
        <v>4551</v>
      </c>
      <c r="E68" t="s">
        <v>4552</v>
      </c>
      <c r="F68" t="s">
        <v>4553</v>
      </c>
    </row>
    <row r="69" spans="1:6" x14ac:dyDescent="0.2">
      <c r="A69">
        <v>3</v>
      </c>
      <c r="B69" t="s">
        <v>4554</v>
      </c>
      <c r="C69" t="s">
        <v>4555</v>
      </c>
      <c r="D69" t="s">
        <v>4556</v>
      </c>
      <c r="E69" t="s">
        <v>4557</v>
      </c>
      <c r="F69" t="s">
        <v>4073</v>
      </c>
    </row>
    <row r="70" spans="1:6" x14ac:dyDescent="0.2">
      <c r="A70">
        <v>4</v>
      </c>
      <c r="B70" t="s">
        <v>4558</v>
      </c>
      <c r="C70" t="s">
        <v>4559</v>
      </c>
      <c r="D70" t="s">
        <v>4560</v>
      </c>
      <c r="E70" t="s">
        <v>4561</v>
      </c>
      <c r="F70" t="s">
        <v>4562</v>
      </c>
    </row>
    <row r="71" spans="1:6" x14ac:dyDescent="0.2">
      <c r="A71">
        <v>5</v>
      </c>
      <c r="B71" t="s">
        <v>4563</v>
      </c>
      <c r="C71">
        <v>1</v>
      </c>
      <c r="D71" t="s">
        <v>4564</v>
      </c>
      <c r="E71" t="s">
        <v>4565</v>
      </c>
      <c r="F71" t="s">
        <v>4254</v>
      </c>
    </row>
    <row r="72" spans="1:6" x14ac:dyDescent="0.2">
      <c r="A72">
        <v>6</v>
      </c>
      <c r="B72" t="s">
        <v>4566</v>
      </c>
      <c r="C72">
        <v>1</v>
      </c>
      <c r="D72" t="s">
        <v>4567</v>
      </c>
      <c r="E72" t="s">
        <v>4568</v>
      </c>
      <c r="F72" t="s">
        <v>4077</v>
      </c>
    </row>
    <row r="73" spans="1:6" x14ac:dyDescent="0.2">
      <c r="A73">
        <v>7</v>
      </c>
      <c r="B73" t="s">
        <v>4569</v>
      </c>
      <c r="C73">
        <v>4</v>
      </c>
      <c r="D73" t="s">
        <v>4570</v>
      </c>
      <c r="E73" t="s">
        <v>4571</v>
      </c>
      <c r="F73" t="s">
        <v>4572</v>
      </c>
    </row>
    <row r="74" spans="1:6" x14ac:dyDescent="0.2">
      <c r="A74">
        <v>8</v>
      </c>
      <c r="B74" t="s">
        <v>4573</v>
      </c>
      <c r="C74">
        <v>2</v>
      </c>
      <c r="D74" t="s">
        <v>4574</v>
      </c>
      <c r="E74" t="s">
        <v>4575</v>
      </c>
      <c r="F74" t="s">
        <v>4576</v>
      </c>
    </row>
    <row r="75" spans="1:6" x14ac:dyDescent="0.2">
      <c r="A75">
        <v>9</v>
      </c>
      <c r="B75" t="s">
        <v>4577</v>
      </c>
      <c r="C75">
        <v>1</v>
      </c>
      <c r="D75" t="s">
        <v>4578</v>
      </c>
      <c r="E75" t="s">
        <v>4579</v>
      </c>
      <c r="F75" t="s">
        <v>4069</v>
      </c>
    </row>
    <row r="76" spans="1:6" x14ac:dyDescent="0.2">
      <c r="A76">
        <v>10</v>
      </c>
      <c r="B76" t="s">
        <v>4580</v>
      </c>
      <c r="C76">
        <v>1</v>
      </c>
      <c r="D76" t="s">
        <v>4581</v>
      </c>
      <c r="E76" t="s">
        <v>4571</v>
      </c>
      <c r="F76" t="s">
        <v>4085</v>
      </c>
    </row>
    <row r="77" spans="1:6" x14ac:dyDescent="0.2">
      <c r="B77" s="472" t="s">
        <v>4098</v>
      </c>
      <c r="F77" s="472" t="s">
        <v>4582</v>
      </c>
    </row>
    <row r="79" spans="1:6" ht="15" x14ac:dyDescent="0.25">
      <c r="A79" s="747" t="s">
        <v>1849</v>
      </c>
      <c r="B79" s="748"/>
      <c r="C79" s="748"/>
      <c r="D79" s="748"/>
      <c r="E79" s="748"/>
      <c r="F79" s="748"/>
    </row>
    <row r="80" spans="1:6" x14ac:dyDescent="0.2">
      <c r="A80" s="768" t="s">
        <v>610</v>
      </c>
      <c r="B80" s="768" t="s">
        <v>1623</v>
      </c>
      <c r="C80" s="768" t="s">
        <v>1624</v>
      </c>
      <c r="D80" s="768" t="s">
        <v>4100</v>
      </c>
      <c r="E80" s="768" t="s">
        <v>4101</v>
      </c>
    </row>
    <row r="81" spans="1:6" x14ac:dyDescent="0.2">
      <c r="A81">
        <v>1</v>
      </c>
      <c r="B81" t="s">
        <v>4583</v>
      </c>
      <c r="C81" t="s">
        <v>4584</v>
      </c>
      <c r="D81" t="s">
        <v>4585</v>
      </c>
      <c r="E81" t="s">
        <v>4586</v>
      </c>
    </row>
    <row r="82" spans="1:6" x14ac:dyDescent="0.2">
      <c r="A82">
        <v>2</v>
      </c>
      <c r="B82" t="s">
        <v>4583</v>
      </c>
      <c r="C82" t="s">
        <v>4587</v>
      </c>
      <c r="D82" t="s">
        <v>4588</v>
      </c>
      <c r="E82" t="s">
        <v>4589</v>
      </c>
    </row>
    <row r="83" spans="1:6" x14ac:dyDescent="0.2">
      <c r="A83">
        <v>3</v>
      </c>
      <c r="B83" t="s">
        <v>4583</v>
      </c>
      <c r="C83" t="s">
        <v>4590</v>
      </c>
      <c r="D83" t="s">
        <v>4591</v>
      </c>
      <c r="E83" t="s">
        <v>4592</v>
      </c>
    </row>
    <row r="84" spans="1:6" x14ac:dyDescent="0.2">
      <c r="A84">
        <v>4</v>
      </c>
      <c r="B84" t="s">
        <v>2410</v>
      </c>
      <c r="C84" t="s">
        <v>4593</v>
      </c>
      <c r="D84" t="s">
        <v>4594</v>
      </c>
      <c r="E84" t="s">
        <v>4595</v>
      </c>
    </row>
    <row r="85" spans="1:6" x14ac:dyDescent="0.2">
      <c r="A85">
        <v>5</v>
      </c>
      <c r="B85" t="s">
        <v>2410</v>
      </c>
      <c r="C85" t="s">
        <v>4596</v>
      </c>
      <c r="D85" t="s">
        <v>4151</v>
      </c>
      <c r="E85" t="s">
        <v>4597</v>
      </c>
    </row>
    <row r="86" spans="1:6" x14ac:dyDescent="0.2">
      <c r="A86">
        <v>6</v>
      </c>
      <c r="B86" t="s">
        <v>4536</v>
      </c>
      <c r="C86" t="s">
        <v>4598</v>
      </c>
      <c r="D86" t="s">
        <v>4599</v>
      </c>
      <c r="E86" t="s">
        <v>4600</v>
      </c>
    </row>
    <row r="87" spans="1:6" x14ac:dyDescent="0.2">
      <c r="A87">
        <v>7</v>
      </c>
      <c r="B87" t="s">
        <v>4601</v>
      </c>
      <c r="C87" t="s">
        <v>4602</v>
      </c>
      <c r="D87" t="s">
        <v>4603</v>
      </c>
      <c r="E87" t="s">
        <v>4604</v>
      </c>
    </row>
    <row r="88" spans="1:6" x14ac:dyDescent="0.2">
      <c r="A88">
        <v>8</v>
      </c>
      <c r="B88" t="s">
        <v>4601</v>
      </c>
      <c r="C88" t="s">
        <v>4605</v>
      </c>
      <c r="D88" t="s">
        <v>4606</v>
      </c>
      <c r="E88" t="s">
        <v>4607</v>
      </c>
    </row>
    <row r="89" spans="1:6" x14ac:dyDescent="0.2">
      <c r="A89">
        <v>9</v>
      </c>
      <c r="B89" t="s">
        <v>4608</v>
      </c>
      <c r="C89" t="s">
        <v>4609</v>
      </c>
      <c r="D89" t="s">
        <v>4610</v>
      </c>
      <c r="E89" t="s">
        <v>4611</v>
      </c>
    </row>
    <row r="90" spans="1:6" x14ac:dyDescent="0.2">
      <c r="A90">
        <v>10</v>
      </c>
      <c r="B90" t="s">
        <v>4612</v>
      </c>
      <c r="C90" t="s">
        <v>4613</v>
      </c>
      <c r="D90" t="s">
        <v>4614</v>
      </c>
      <c r="E90" t="s">
        <v>4615</v>
      </c>
    </row>
    <row r="91" spans="1:6" x14ac:dyDescent="0.2">
      <c r="A91">
        <v>11</v>
      </c>
      <c r="B91" t="s">
        <v>1785</v>
      </c>
      <c r="C91" t="s">
        <v>4616</v>
      </c>
      <c r="D91" t="s">
        <v>4617</v>
      </c>
      <c r="E91" t="s">
        <v>4618</v>
      </c>
    </row>
    <row r="92" spans="1:6" x14ac:dyDescent="0.2">
      <c r="A92">
        <v>12</v>
      </c>
      <c r="B92" t="s">
        <v>4619</v>
      </c>
      <c r="C92" t="s">
        <v>4620</v>
      </c>
      <c r="D92" t="s">
        <v>1324</v>
      </c>
      <c r="E92" t="s">
        <v>4621</v>
      </c>
    </row>
    <row r="94" spans="1:6" ht="15" x14ac:dyDescent="0.25">
      <c r="A94" s="751" t="s">
        <v>1532</v>
      </c>
      <c r="B94" s="752"/>
      <c r="C94" s="752"/>
      <c r="D94" s="752"/>
      <c r="E94" s="752"/>
      <c r="F94" s="752"/>
    </row>
    <row r="95" spans="1:6" x14ac:dyDescent="0.2">
      <c r="A95" t="s">
        <v>4622</v>
      </c>
    </row>
    <row r="96" spans="1:6" x14ac:dyDescent="0.2">
      <c r="A96" t="s">
        <v>4623</v>
      </c>
    </row>
    <row r="97" spans="1:1" x14ac:dyDescent="0.2">
      <c r="A97" t="s">
        <v>4624</v>
      </c>
    </row>
    <row r="98" spans="1:1" x14ac:dyDescent="0.2">
      <c r="A98" t="s">
        <v>4625</v>
      </c>
    </row>
    <row r="99" spans="1:1" x14ac:dyDescent="0.2">
      <c r="A99" t="s">
        <v>4626</v>
      </c>
    </row>
    <row r="100" spans="1:1" x14ac:dyDescent="0.2">
      <c r="A100" t="s">
        <v>4627</v>
      </c>
    </row>
    <row r="101" spans="1:1" x14ac:dyDescent="0.2">
      <c r="A101" t="s">
        <v>4628</v>
      </c>
    </row>
    <row r="102" spans="1:1" x14ac:dyDescent="0.2">
      <c r="A102" t="s">
        <v>4629</v>
      </c>
    </row>
    <row r="103" spans="1:1" x14ac:dyDescent="0.2">
      <c r="A103" t="s">
        <v>4630</v>
      </c>
    </row>
    <row r="104" spans="1:1" x14ac:dyDescent="0.2">
      <c r="A104" t="s">
        <v>4631</v>
      </c>
    </row>
    <row r="107" spans="1:1" ht="18" x14ac:dyDescent="0.25">
      <c r="A107" s="833" t="s">
        <v>6946</v>
      </c>
    </row>
    <row r="108" spans="1:1" x14ac:dyDescent="0.2">
      <c r="A108" s="734" t="s">
        <v>6947</v>
      </c>
    </row>
    <row r="110" spans="1:1" x14ac:dyDescent="0.2">
      <c r="A110" s="609" t="s">
        <v>6355</v>
      </c>
    </row>
    <row r="111" spans="1:1" x14ac:dyDescent="0.2">
      <c r="A111" t="s">
        <v>6948</v>
      </c>
    </row>
    <row r="112" spans="1:1" x14ac:dyDescent="0.2">
      <c r="A112" t="s">
        <v>6949</v>
      </c>
    </row>
    <row r="113" spans="1:1" x14ac:dyDescent="0.2">
      <c r="A113" t="s">
        <v>6950</v>
      </c>
    </row>
    <row r="115" spans="1:1" x14ac:dyDescent="0.2">
      <c r="A115" s="609" t="s">
        <v>6359</v>
      </c>
    </row>
    <row r="116" spans="1:1" x14ac:dyDescent="0.2">
      <c r="A116" t="s">
        <v>6951</v>
      </c>
    </row>
    <row r="117" spans="1:1" x14ac:dyDescent="0.2">
      <c r="A117" t="s">
        <v>6952</v>
      </c>
    </row>
    <row r="118" spans="1:1" x14ac:dyDescent="0.2">
      <c r="A118" t="s">
        <v>6953</v>
      </c>
    </row>
    <row r="120" spans="1:1" x14ac:dyDescent="0.2">
      <c r="A120" s="609" t="s">
        <v>6654</v>
      </c>
    </row>
    <row r="121" spans="1:1" x14ac:dyDescent="0.2">
      <c r="A121" t="s">
        <v>6954</v>
      </c>
    </row>
    <row r="122" spans="1:1" x14ac:dyDescent="0.2">
      <c r="A122" t="s">
        <v>6955</v>
      </c>
    </row>
    <row r="123" spans="1:1" x14ac:dyDescent="0.2">
      <c r="A123" t="s">
        <v>6956</v>
      </c>
    </row>
    <row r="125" spans="1:1" x14ac:dyDescent="0.2">
      <c r="A125" s="609" t="s">
        <v>6658</v>
      </c>
    </row>
    <row r="126" spans="1:1" x14ac:dyDescent="0.2">
      <c r="A126" t="s">
        <v>6957</v>
      </c>
    </row>
    <row r="127" spans="1:1" x14ac:dyDescent="0.2">
      <c r="A127" t="s">
        <v>6958</v>
      </c>
    </row>
    <row r="129" spans="1:1" x14ac:dyDescent="0.2">
      <c r="A129" s="609" t="s">
        <v>6661</v>
      </c>
    </row>
    <row r="130" spans="1:1" x14ac:dyDescent="0.2">
      <c r="A130" t="s">
        <v>6959</v>
      </c>
    </row>
    <row r="131" spans="1:1" x14ac:dyDescent="0.2">
      <c r="A131" t="s">
        <v>6960</v>
      </c>
    </row>
    <row r="132" spans="1:1" x14ac:dyDescent="0.2">
      <c r="A132" t="s">
        <v>6961</v>
      </c>
    </row>
    <row r="134" spans="1:1" x14ac:dyDescent="0.2">
      <c r="A134" s="609" t="s">
        <v>6682</v>
      </c>
    </row>
    <row r="135" spans="1:1" x14ac:dyDescent="0.2">
      <c r="A135" t="s">
        <v>6962</v>
      </c>
    </row>
    <row r="137" spans="1:1" ht="18" x14ac:dyDescent="0.25">
      <c r="A137" s="838" t="s">
        <v>7386</v>
      </c>
    </row>
    <row r="138" spans="1:1" x14ac:dyDescent="0.2">
      <c r="A138" s="734" t="s">
        <v>7246</v>
      </c>
    </row>
    <row r="140" spans="1:1" x14ac:dyDescent="0.2">
      <c r="A140" s="839" t="s">
        <v>7387</v>
      </c>
    </row>
    <row r="141" spans="1:1" x14ac:dyDescent="0.2">
      <c r="A141" s="842" t="s">
        <v>7388</v>
      </c>
    </row>
    <row r="142" spans="1:1" x14ac:dyDescent="0.2">
      <c r="A142" t="s">
        <v>7389</v>
      </c>
    </row>
    <row r="144" spans="1:1" x14ac:dyDescent="0.2">
      <c r="A144" s="839" t="s">
        <v>7390</v>
      </c>
    </row>
    <row r="145" spans="1:1" x14ac:dyDescent="0.2">
      <c r="A145" s="842" t="s">
        <v>7391</v>
      </c>
    </row>
    <row r="146" spans="1:1" x14ac:dyDescent="0.2">
      <c r="A146" t="s">
        <v>7392</v>
      </c>
    </row>
    <row r="148" spans="1:1" x14ac:dyDescent="0.2">
      <c r="A148" s="839" t="s">
        <v>7247</v>
      </c>
    </row>
    <row r="149" spans="1:1" x14ac:dyDescent="0.2">
      <c r="A149" t="s">
        <v>7393</v>
      </c>
    </row>
  </sheetData>
  <pageMargins left="0.7" right="0.7" top="0.75" bottom="0.75" header="0.3" footer="0.3"/>
  <legacyDrawing r:id="rId1"/>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F07485-0DDD-4EC5-A4D9-4DE8B385B844}">
  <dimension ref="A1:J152"/>
  <sheetViews>
    <sheetView workbookViewId="0">
      <pane ySplit="3" topLeftCell="A4" activePane="bottomLeft" state="frozen"/>
      <selection pane="bottomLeft"/>
    </sheetView>
  </sheetViews>
  <sheetFormatPr defaultRowHeight="12.75" x14ac:dyDescent="0.2"/>
  <cols>
    <col min="1" max="1" width="137.140625" customWidth="1"/>
    <col min="2" max="2" width="22.85546875" customWidth="1"/>
    <col min="3" max="3" width="19" customWidth="1"/>
    <col min="4" max="4" width="15.28515625" customWidth="1"/>
    <col min="5" max="5" width="26.7109375" customWidth="1"/>
    <col min="6" max="6" width="22.85546875" customWidth="1"/>
    <col min="7" max="9" width="19" customWidth="1"/>
    <col min="10" max="10" width="15.28515625" customWidth="1"/>
  </cols>
  <sheetData>
    <row r="1" spans="1:7" ht="18" x14ac:dyDescent="0.25">
      <c r="A1" s="470" t="s">
        <v>4632</v>
      </c>
    </row>
    <row r="2" spans="1:7" x14ac:dyDescent="0.2">
      <c r="A2" s="734" t="s">
        <v>4633</v>
      </c>
    </row>
    <row r="4" spans="1:7" ht="15" x14ac:dyDescent="0.25">
      <c r="A4" s="735" t="s">
        <v>1443</v>
      </c>
      <c r="B4" s="736"/>
      <c r="C4" s="736"/>
      <c r="D4" s="736"/>
      <c r="E4" s="736"/>
    </row>
    <row r="5" spans="1:7" x14ac:dyDescent="0.2">
      <c r="A5" t="s">
        <v>4634</v>
      </c>
      <c r="B5" s="565">
        <v>22.3</v>
      </c>
      <c r="C5" t="s">
        <v>4635</v>
      </c>
    </row>
    <row r="6" spans="1:7" x14ac:dyDescent="0.2">
      <c r="A6" t="s">
        <v>4636</v>
      </c>
      <c r="B6" s="481">
        <f>B5*25.4</f>
        <v>566.41999999999996</v>
      </c>
    </row>
    <row r="7" spans="1:7" x14ac:dyDescent="0.2">
      <c r="A7" t="s">
        <v>4637</v>
      </c>
      <c r="B7" s="481">
        <f>PI()*B6</f>
        <v>1779.4609108463305</v>
      </c>
    </row>
    <row r="8" spans="1:7" x14ac:dyDescent="0.2">
      <c r="A8" t="s">
        <v>4638</v>
      </c>
      <c r="B8" s="564" t="s">
        <v>4639</v>
      </c>
    </row>
    <row r="9" spans="1:7" x14ac:dyDescent="0.2">
      <c r="A9" t="s">
        <v>4640</v>
      </c>
      <c r="B9" s="737">
        <v>8</v>
      </c>
      <c r="C9" t="s">
        <v>4641</v>
      </c>
    </row>
    <row r="10" spans="1:7" x14ac:dyDescent="0.2">
      <c r="A10" t="s">
        <v>4642</v>
      </c>
      <c r="B10" s="737">
        <v>6</v>
      </c>
      <c r="C10" t="s">
        <v>4643</v>
      </c>
    </row>
    <row r="11" spans="1:7" x14ac:dyDescent="0.2">
      <c r="A11" t="s">
        <v>4644</v>
      </c>
      <c r="B11" s="564" t="s">
        <v>4645</v>
      </c>
      <c r="C11" t="s">
        <v>4646</v>
      </c>
    </row>
    <row r="12" spans="1:7" x14ac:dyDescent="0.2">
      <c r="A12" t="s">
        <v>1414</v>
      </c>
      <c r="B12" s="472" t="s">
        <v>4647</v>
      </c>
      <c r="C12" t="s">
        <v>4648</v>
      </c>
    </row>
    <row r="13" spans="1:7" x14ac:dyDescent="0.2">
      <c r="A13" t="s">
        <v>3128</v>
      </c>
      <c r="B13" s="737">
        <v>440</v>
      </c>
      <c r="C13" t="s">
        <v>4649</v>
      </c>
    </row>
    <row r="14" spans="1:7" x14ac:dyDescent="0.2">
      <c r="A14" t="s">
        <v>1188</v>
      </c>
      <c r="B14" s="564" t="s">
        <v>4650</v>
      </c>
      <c r="C14" t="s">
        <v>4651</v>
      </c>
    </row>
    <row r="16" spans="1:7" ht="15" x14ac:dyDescent="0.25">
      <c r="A16" s="738" t="s">
        <v>4652</v>
      </c>
      <c r="B16" s="739"/>
      <c r="C16" s="739"/>
      <c r="D16" s="739"/>
      <c r="E16" s="739"/>
      <c r="F16" s="739"/>
      <c r="G16" s="739"/>
    </row>
    <row r="17" spans="1:10" x14ac:dyDescent="0.2">
      <c r="A17" s="484" t="s">
        <v>4644</v>
      </c>
      <c r="B17" s="484" t="s">
        <v>4653</v>
      </c>
      <c r="C17" s="484" t="s">
        <v>1414</v>
      </c>
      <c r="D17" s="484" t="s">
        <v>2</v>
      </c>
      <c r="E17" s="484" t="s">
        <v>4654</v>
      </c>
      <c r="F17" s="484" t="s">
        <v>4655</v>
      </c>
      <c r="G17" s="484" t="s">
        <v>4656</v>
      </c>
    </row>
    <row r="18" spans="1:10" x14ac:dyDescent="0.2">
      <c r="A18" t="s">
        <v>4657</v>
      </c>
      <c r="B18">
        <v>1</v>
      </c>
      <c r="C18" t="s">
        <v>4658</v>
      </c>
      <c r="D18" t="s">
        <v>4659</v>
      </c>
      <c r="E18" t="s">
        <v>4660</v>
      </c>
      <c r="F18" t="s">
        <v>4661</v>
      </c>
      <c r="G18" t="s">
        <v>4662</v>
      </c>
    </row>
    <row r="19" spans="1:10" x14ac:dyDescent="0.2">
      <c r="A19" t="s">
        <v>4663</v>
      </c>
      <c r="B19">
        <v>2</v>
      </c>
      <c r="C19" t="s">
        <v>4664</v>
      </c>
      <c r="D19" t="s">
        <v>4659</v>
      </c>
      <c r="E19" t="s">
        <v>4665</v>
      </c>
      <c r="F19" t="s">
        <v>4666</v>
      </c>
      <c r="G19" t="s">
        <v>4667</v>
      </c>
    </row>
    <row r="20" spans="1:10" x14ac:dyDescent="0.2">
      <c r="A20" t="s">
        <v>4668</v>
      </c>
      <c r="B20">
        <v>2</v>
      </c>
      <c r="C20" t="s">
        <v>4669</v>
      </c>
      <c r="D20" t="s">
        <v>4659</v>
      </c>
      <c r="E20" t="s">
        <v>4670</v>
      </c>
      <c r="F20" t="s">
        <v>4666</v>
      </c>
      <c r="G20" t="s">
        <v>4671</v>
      </c>
    </row>
    <row r="21" spans="1:10" x14ac:dyDescent="0.2">
      <c r="A21" t="s">
        <v>4672</v>
      </c>
      <c r="B21" s="695">
        <v>46056</v>
      </c>
      <c r="C21" t="s">
        <v>4673</v>
      </c>
      <c r="D21" t="s">
        <v>2438</v>
      </c>
      <c r="E21" t="s">
        <v>4674</v>
      </c>
      <c r="F21" t="s">
        <v>4675</v>
      </c>
      <c r="G21" t="s">
        <v>4676</v>
      </c>
    </row>
    <row r="22" spans="1:10" x14ac:dyDescent="0.2">
      <c r="A22" t="s">
        <v>4677</v>
      </c>
      <c r="B22">
        <v>4</v>
      </c>
      <c r="C22" t="s">
        <v>4678</v>
      </c>
      <c r="D22" s="695">
        <v>46372</v>
      </c>
      <c r="E22" t="s">
        <v>4679</v>
      </c>
      <c r="F22" t="s">
        <v>4680</v>
      </c>
      <c r="G22" t="s">
        <v>4681</v>
      </c>
    </row>
    <row r="23" spans="1:10" x14ac:dyDescent="0.2">
      <c r="A23" t="s">
        <v>4682</v>
      </c>
      <c r="B23">
        <v>6</v>
      </c>
      <c r="C23" t="s">
        <v>4683</v>
      </c>
      <c r="D23" s="695">
        <v>46374</v>
      </c>
      <c r="E23" t="s">
        <v>4679</v>
      </c>
      <c r="F23" t="s">
        <v>4680</v>
      </c>
      <c r="G23" t="s">
        <v>4684</v>
      </c>
    </row>
    <row r="25" spans="1:10" ht="15" x14ac:dyDescent="0.25">
      <c r="A25" s="764" t="s">
        <v>4685</v>
      </c>
      <c r="B25" s="765"/>
      <c r="C25" s="765"/>
      <c r="D25" s="765"/>
      <c r="E25" s="765"/>
      <c r="F25" s="765"/>
      <c r="G25" s="765"/>
      <c r="H25" s="765"/>
      <c r="I25" s="765"/>
      <c r="J25" s="765"/>
    </row>
    <row r="26" spans="1:10" x14ac:dyDescent="0.2">
      <c r="A26" s="734" t="s">
        <v>4686</v>
      </c>
    </row>
    <row r="27" spans="1:10" x14ac:dyDescent="0.2">
      <c r="A27" s="713" t="s">
        <v>610</v>
      </c>
      <c r="B27" s="713" t="s">
        <v>2693</v>
      </c>
      <c r="C27" s="713" t="s">
        <v>785</v>
      </c>
      <c r="D27" s="713" t="s">
        <v>1272</v>
      </c>
      <c r="E27" s="713" t="s">
        <v>1368</v>
      </c>
      <c r="F27" s="713" t="s">
        <v>3991</v>
      </c>
      <c r="G27" s="713" t="s">
        <v>4687</v>
      </c>
      <c r="H27" s="713" t="s">
        <v>4688</v>
      </c>
      <c r="I27" s="713" t="s">
        <v>4689</v>
      </c>
      <c r="J27" s="713" t="s">
        <v>3994</v>
      </c>
    </row>
    <row r="28" spans="1:10" x14ac:dyDescent="0.2">
      <c r="A28">
        <v>1</v>
      </c>
      <c r="B28" t="s">
        <v>4690</v>
      </c>
      <c r="C28" t="s">
        <v>244</v>
      </c>
      <c r="D28">
        <v>60</v>
      </c>
      <c r="E28" s="481">
        <f>$B$13*2^((D28-69)/12)</f>
        <v>261.62556530059862</v>
      </c>
      <c r="F28" s="481">
        <f>E28*2</f>
        <v>523.25113060119725</v>
      </c>
      <c r="G28" s="481">
        <f>E28*3</f>
        <v>784.87669590179587</v>
      </c>
      <c r="H28" s="564">
        <v>165</v>
      </c>
      <c r="I28" s="564">
        <v>130</v>
      </c>
      <c r="J28" s="767">
        <v>0.25</v>
      </c>
    </row>
    <row r="29" spans="1:10" x14ac:dyDescent="0.2">
      <c r="A29">
        <v>2</v>
      </c>
      <c r="B29" t="s">
        <v>4690</v>
      </c>
      <c r="C29" t="s">
        <v>1284</v>
      </c>
      <c r="D29">
        <v>61</v>
      </c>
      <c r="E29" s="481">
        <f t="shared" ref="E29:E39" si="0">$B$13*2^((D29-69)/12)</f>
        <v>277.18263097687208</v>
      </c>
      <c r="F29" s="481">
        <f t="shared" ref="F29:F39" si="1">E29*2</f>
        <v>554.36526195374415</v>
      </c>
      <c r="G29" s="481">
        <f t="shared" ref="G29:G39" si="2">E29*3</f>
        <v>831.54789293061617</v>
      </c>
      <c r="H29" s="564">
        <v>160</v>
      </c>
      <c r="I29" s="564">
        <v>125</v>
      </c>
      <c r="J29" s="767">
        <v>0.22916666666666666</v>
      </c>
    </row>
    <row r="30" spans="1:10" x14ac:dyDescent="0.2">
      <c r="A30">
        <v>3</v>
      </c>
      <c r="B30" t="s">
        <v>4690</v>
      </c>
      <c r="C30" t="s">
        <v>24</v>
      </c>
      <c r="D30">
        <v>62</v>
      </c>
      <c r="E30" s="481">
        <f t="shared" si="0"/>
        <v>293.66476791740757</v>
      </c>
      <c r="F30" s="481">
        <f t="shared" si="1"/>
        <v>587.32953583481515</v>
      </c>
      <c r="G30" s="481">
        <f t="shared" si="2"/>
        <v>880.99430375222278</v>
      </c>
      <c r="H30" s="564">
        <v>155</v>
      </c>
      <c r="I30" s="564">
        <v>120</v>
      </c>
      <c r="J30" s="767">
        <v>0.45833333333333331</v>
      </c>
    </row>
    <row r="31" spans="1:10" x14ac:dyDescent="0.2">
      <c r="A31">
        <v>4</v>
      </c>
      <c r="B31" t="s">
        <v>4690</v>
      </c>
      <c r="C31" t="s">
        <v>1285</v>
      </c>
      <c r="D31">
        <v>63</v>
      </c>
      <c r="E31" s="481">
        <f t="shared" si="0"/>
        <v>311.12698372208087</v>
      </c>
      <c r="F31" s="481">
        <f t="shared" si="1"/>
        <v>622.25396744416173</v>
      </c>
      <c r="G31" s="481">
        <f t="shared" si="2"/>
        <v>933.38095116624254</v>
      </c>
      <c r="H31" s="564">
        <v>150</v>
      </c>
      <c r="I31" s="564">
        <v>118</v>
      </c>
      <c r="J31" s="767">
        <v>0.4375</v>
      </c>
    </row>
    <row r="32" spans="1:10" x14ac:dyDescent="0.2">
      <c r="A32">
        <v>5</v>
      </c>
      <c r="B32" t="s">
        <v>4690</v>
      </c>
      <c r="C32" t="s">
        <v>25</v>
      </c>
      <c r="D32">
        <v>64</v>
      </c>
      <c r="E32" s="481">
        <f t="shared" si="0"/>
        <v>329.62755691286992</v>
      </c>
      <c r="F32" s="481">
        <f t="shared" si="1"/>
        <v>659.25511382573984</v>
      </c>
      <c r="G32" s="481">
        <f t="shared" si="2"/>
        <v>988.8826707386097</v>
      </c>
      <c r="H32" s="564">
        <v>146</v>
      </c>
      <c r="I32" s="564">
        <v>115</v>
      </c>
      <c r="J32" s="767">
        <v>0.16666666666666666</v>
      </c>
    </row>
    <row r="33" spans="1:10" x14ac:dyDescent="0.2">
      <c r="A33">
        <v>6</v>
      </c>
      <c r="B33" t="s">
        <v>4690</v>
      </c>
      <c r="C33" t="s">
        <v>11</v>
      </c>
      <c r="D33">
        <v>65</v>
      </c>
      <c r="E33" s="481">
        <f t="shared" si="0"/>
        <v>349.22823143300388</v>
      </c>
      <c r="F33" s="481">
        <f t="shared" si="1"/>
        <v>698.45646286600777</v>
      </c>
      <c r="G33" s="481">
        <f t="shared" si="2"/>
        <v>1047.6846942990117</v>
      </c>
      <c r="H33" s="564">
        <v>142</v>
      </c>
      <c r="I33" s="564">
        <v>112</v>
      </c>
      <c r="J33" s="767">
        <v>0.29166666666666669</v>
      </c>
    </row>
    <row r="34" spans="1:10" x14ac:dyDescent="0.2">
      <c r="A34">
        <v>7</v>
      </c>
      <c r="B34" t="s">
        <v>4690</v>
      </c>
      <c r="C34" t="s">
        <v>424</v>
      </c>
      <c r="D34">
        <v>66</v>
      </c>
      <c r="E34" s="481">
        <f t="shared" si="0"/>
        <v>369.99442271163446</v>
      </c>
      <c r="F34" s="481">
        <f t="shared" si="1"/>
        <v>739.98884542326891</v>
      </c>
      <c r="G34" s="481">
        <f t="shared" si="2"/>
        <v>1109.9832681349035</v>
      </c>
      <c r="H34" s="564">
        <v>138</v>
      </c>
      <c r="I34" s="564">
        <v>110</v>
      </c>
      <c r="J34" s="767">
        <v>0.5</v>
      </c>
    </row>
    <row r="35" spans="1:10" x14ac:dyDescent="0.2">
      <c r="A35">
        <v>8</v>
      </c>
      <c r="B35" t="s">
        <v>4690</v>
      </c>
      <c r="C35" t="s">
        <v>27</v>
      </c>
      <c r="D35">
        <v>67</v>
      </c>
      <c r="E35" s="481">
        <f t="shared" si="0"/>
        <v>391.99543598174927</v>
      </c>
      <c r="F35" s="481">
        <f t="shared" si="1"/>
        <v>783.99087196349853</v>
      </c>
      <c r="G35" s="481">
        <f t="shared" si="2"/>
        <v>1175.9863079452477</v>
      </c>
      <c r="H35" s="564">
        <v>135</v>
      </c>
      <c r="I35" s="564">
        <v>108</v>
      </c>
      <c r="J35" s="767">
        <v>0.20833333333333334</v>
      </c>
    </row>
    <row r="36" spans="1:10" x14ac:dyDescent="0.2">
      <c r="A36">
        <v>9</v>
      </c>
      <c r="B36" t="s">
        <v>4690</v>
      </c>
      <c r="C36" t="s">
        <v>1286</v>
      </c>
      <c r="D36">
        <v>68</v>
      </c>
      <c r="E36" s="481">
        <f t="shared" si="0"/>
        <v>415.30469757994513</v>
      </c>
      <c r="F36" s="481">
        <f t="shared" si="1"/>
        <v>830.60939515989025</v>
      </c>
      <c r="G36" s="481">
        <f t="shared" si="2"/>
        <v>1245.9140927398353</v>
      </c>
      <c r="H36" s="564">
        <v>132</v>
      </c>
      <c r="I36" s="564">
        <v>106</v>
      </c>
      <c r="J36" s="767">
        <v>0.41666666666666669</v>
      </c>
    </row>
    <row r="37" spans="1:10" x14ac:dyDescent="0.2">
      <c r="A37">
        <v>10</v>
      </c>
      <c r="B37" t="s">
        <v>4690</v>
      </c>
      <c r="C37" t="s">
        <v>29</v>
      </c>
      <c r="D37">
        <v>69</v>
      </c>
      <c r="E37" s="481">
        <f t="shared" si="0"/>
        <v>440</v>
      </c>
      <c r="F37" s="481">
        <f t="shared" si="1"/>
        <v>880</v>
      </c>
      <c r="G37" s="481">
        <f t="shared" si="2"/>
        <v>1320</v>
      </c>
      <c r="H37" s="564">
        <v>128</v>
      </c>
      <c r="I37" s="564">
        <v>104</v>
      </c>
      <c r="J37" s="767">
        <v>0.125</v>
      </c>
    </row>
    <row r="38" spans="1:10" x14ac:dyDescent="0.2">
      <c r="A38">
        <v>11</v>
      </c>
      <c r="B38" t="s">
        <v>4690</v>
      </c>
      <c r="C38" t="s">
        <v>1287</v>
      </c>
      <c r="D38">
        <v>70</v>
      </c>
      <c r="E38" s="481">
        <f t="shared" si="0"/>
        <v>466.16376151808993</v>
      </c>
      <c r="F38" s="481">
        <f t="shared" si="1"/>
        <v>932.32752303617985</v>
      </c>
      <c r="G38" s="481">
        <f t="shared" si="2"/>
        <v>1398.4912845542699</v>
      </c>
      <c r="H38" s="564">
        <v>125</v>
      </c>
      <c r="I38" s="564">
        <v>102</v>
      </c>
      <c r="J38" s="767">
        <v>0.33333333333333331</v>
      </c>
    </row>
    <row r="39" spans="1:10" x14ac:dyDescent="0.2">
      <c r="A39">
        <v>12</v>
      </c>
      <c r="B39" t="s">
        <v>4690</v>
      </c>
      <c r="C39" t="s">
        <v>31</v>
      </c>
      <c r="D39">
        <v>71</v>
      </c>
      <c r="E39" s="481">
        <f t="shared" si="0"/>
        <v>493.88330125612413</v>
      </c>
      <c r="F39" s="481">
        <f t="shared" si="1"/>
        <v>987.76660251224826</v>
      </c>
      <c r="G39" s="481">
        <f t="shared" si="2"/>
        <v>1481.6499037683725</v>
      </c>
      <c r="H39" s="564">
        <v>122</v>
      </c>
      <c r="I39" s="564">
        <v>100</v>
      </c>
      <c r="J39" s="767">
        <v>4.1666666666666664E-2</v>
      </c>
    </row>
    <row r="40" spans="1:10" x14ac:dyDescent="0.2">
      <c r="A40">
        <v>13</v>
      </c>
      <c r="B40" t="s">
        <v>4691</v>
      </c>
      <c r="C40" t="s">
        <v>32</v>
      </c>
      <c r="D40">
        <v>72</v>
      </c>
      <c r="E40" s="481">
        <f>$B$13*2^((D40-69)/12)</f>
        <v>523.25113060119725</v>
      </c>
      <c r="F40" s="481">
        <f>E40*2</f>
        <v>1046.5022612023945</v>
      </c>
      <c r="G40" s="481">
        <f>E40*3</f>
        <v>1569.7533918035917</v>
      </c>
      <c r="H40" s="564">
        <v>80</v>
      </c>
      <c r="I40" s="564">
        <v>75</v>
      </c>
      <c r="J40" s="767">
        <v>0.25</v>
      </c>
    </row>
    <row r="41" spans="1:10" x14ac:dyDescent="0.2">
      <c r="A41">
        <v>14</v>
      </c>
      <c r="B41" t="s">
        <v>4691</v>
      </c>
      <c r="C41" t="s">
        <v>1288</v>
      </c>
      <c r="D41">
        <v>73</v>
      </c>
      <c r="E41" s="481">
        <f t="shared" ref="E41:E56" si="3">$B$13*2^((D41-69)/12)</f>
        <v>554.36526195374415</v>
      </c>
      <c r="F41" s="481">
        <f t="shared" ref="F41:F56" si="4">E41*2</f>
        <v>1108.7305239074883</v>
      </c>
      <c r="G41" s="481">
        <f t="shared" ref="G41:G56" si="5">E41*3</f>
        <v>1663.0957858612323</v>
      </c>
      <c r="H41" s="564">
        <v>78</v>
      </c>
      <c r="I41" s="564">
        <v>72</v>
      </c>
      <c r="J41" s="767">
        <v>0.22916666666666666</v>
      </c>
    </row>
    <row r="42" spans="1:10" x14ac:dyDescent="0.2">
      <c r="A42">
        <v>15</v>
      </c>
      <c r="B42" t="s">
        <v>4691</v>
      </c>
      <c r="C42" t="s">
        <v>34</v>
      </c>
      <c r="D42">
        <v>74</v>
      </c>
      <c r="E42" s="481">
        <f t="shared" si="3"/>
        <v>587.32953583481515</v>
      </c>
      <c r="F42" s="481">
        <f t="shared" si="4"/>
        <v>1174.6590716696303</v>
      </c>
      <c r="G42" s="481">
        <f t="shared" si="5"/>
        <v>1761.9886075044456</v>
      </c>
      <c r="H42" s="564">
        <v>75</v>
      </c>
      <c r="I42" s="564">
        <v>70</v>
      </c>
      <c r="J42" s="767">
        <v>0.45833333333333331</v>
      </c>
    </row>
    <row r="43" spans="1:10" x14ac:dyDescent="0.2">
      <c r="A43">
        <v>16</v>
      </c>
      <c r="B43" t="s">
        <v>4691</v>
      </c>
      <c r="C43" t="s">
        <v>1289</v>
      </c>
      <c r="D43">
        <v>75</v>
      </c>
      <c r="E43" s="481">
        <f t="shared" si="3"/>
        <v>622.25396744416184</v>
      </c>
      <c r="F43" s="481">
        <f t="shared" si="4"/>
        <v>1244.5079348883237</v>
      </c>
      <c r="G43" s="481">
        <f t="shared" si="5"/>
        <v>1866.7619023324855</v>
      </c>
      <c r="H43" s="564">
        <v>72</v>
      </c>
      <c r="I43" s="564">
        <v>68</v>
      </c>
      <c r="J43" s="767">
        <v>0.4375</v>
      </c>
    </row>
    <row r="44" spans="1:10" x14ac:dyDescent="0.2">
      <c r="A44">
        <v>17</v>
      </c>
      <c r="B44" t="s">
        <v>4691</v>
      </c>
      <c r="C44" t="s">
        <v>36</v>
      </c>
      <c r="D44">
        <v>76</v>
      </c>
      <c r="E44" s="481">
        <f t="shared" si="3"/>
        <v>659.25511382573984</v>
      </c>
      <c r="F44" s="481">
        <f t="shared" si="4"/>
        <v>1318.5102276514797</v>
      </c>
      <c r="G44" s="481">
        <f t="shared" si="5"/>
        <v>1977.7653414772194</v>
      </c>
      <c r="H44" s="564">
        <v>70</v>
      </c>
      <c r="I44" s="564">
        <v>65</v>
      </c>
      <c r="J44" s="767">
        <v>0.16666666666666666</v>
      </c>
    </row>
    <row r="45" spans="1:10" x14ac:dyDescent="0.2">
      <c r="A45">
        <v>18</v>
      </c>
      <c r="B45" t="s">
        <v>4691</v>
      </c>
      <c r="C45" t="s">
        <v>37</v>
      </c>
      <c r="D45">
        <v>77</v>
      </c>
      <c r="E45" s="481">
        <f t="shared" si="3"/>
        <v>698.45646286600777</v>
      </c>
      <c r="F45" s="481">
        <f t="shared" si="4"/>
        <v>1396.9129257320155</v>
      </c>
      <c r="G45" s="481">
        <f t="shared" si="5"/>
        <v>2095.3693885980233</v>
      </c>
      <c r="H45" s="564">
        <v>68</v>
      </c>
      <c r="I45" s="564">
        <v>62</v>
      </c>
      <c r="J45" s="767">
        <v>0.29166666666666669</v>
      </c>
    </row>
    <row r="46" spans="1:10" x14ac:dyDescent="0.2">
      <c r="A46">
        <v>19</v>
      </c>
      <c r="B46" t="s">
        <v>4691</v>
      </c>
      <c r="C46" t="s">
        <v>1290</v>
      </c>
      <c r="D46">
        <v>78</v>
      </c>
      <c r="E46" s="481">
        <f t="shared" si="3"/>
        <v>739.9888454232688</v>
      </c>
      <c r="F46" s="481">
        <f t="shared" si="4"/>
        <v>1479.9776908465376</v>
      </c>
      <c r="G46" s="481">
        <f t="shared" si="5"/>
        <v>2219.9665362698065</v>
      </c>
      <c r="H46" s="564">
        <v>65</v>
      </c>
      <c r="I46" s="564">
        <v>60</v>
      </c>
      <c r="J46" s="767">
        <v>0.5</v>
      </c>
    </row>
    <row r="47" spans="1:10" x14ac:dyDescent="0.2">
      <c r="A47">
        <v>20</v>
      </c>
      <c r="B47" t="s">
        <v>4691</v>
      </c>
      <c r="C47" t="s">
        <v>42</v>
      </c>
      <c r="D47">
        <v>79</v>
      </c>
      <c r="E47" s="481">
        <f t="shared" si="3"/>
        <v>783.99087196349853</v>
      </c>
      <c r="F47" s="481">
        <f t="shared" si="4"/>
        <v>1567.9817439269971</v>
      </c>
      <c r="G47" s="481">
        <f t="shared" si="5"/>
        <v>2351.9726158904955</v>
      </c>
      <c r="H47" s="564">
        <v>62</v>
      </c>
      <c r="I47" s="564">
        <v>58</v>
      </c>
      <c r="J47" s="767">
        <v>0.20833333333333334</v>
      </c>
    </row>
    <row r="48" spans="1:10" x14ac:dyDescent="0.2">
      <c r="A48">
        <v>21</v>
      </c>
      <c r="B48" t="s">
        <v>4691</v>
      </c>
      <c r="C48" t="s">
        <v>1291</v>
      </c>
      <c r="D48">
        <v>80</v>
      </c>
      <c r="E48" s="481">
        <f t="shared" si="3"/>
        <v>830.60939515989025</v>
      </c>
      <c r="F48" s="481">
        <f t="shared" si="4"/>
        <v>1661.2187903197805</v>
      </c>
      <c r="G48" s="481">
        <f t="shared" si="5"/>
        <v>2491.8281854796705</v>
      </c>
      <c r="H48" s="564">
        <v>60</v>
      </c>
      <c r="I48" s="564">
        <v>55</v>
      </c>
      <c r="J48" s="767">
        <v>0.41666666666666669</v>
      </c>
    </row>
    <row r="49" spans="1:10" x14ac:dyDescent="0.2">
      <c r="A49">
        <v>22</v>
      </c>
      <c r="B49" t="s">
        <v>4691</v>
      </c>
      <c r="C49" t="s">
        <v>47</v>
      </c>
      <c r="D49">
        <v>81</v>
      </c>
      <c r="E49" s="481">
        <f t="shared" si="3"/>
        <v>880</v>
      </c>
      <c r="F49" s="481">
        <f t="shared" si="4"/>
        <v>1760</v>
      </c>
      <c r="G49" s="481">
        <f t="shared" si="5"/>
        <v>2640</v>
      </c>
      <c r="H49" s="564">
        <v>58</v>
      </c>
      <c r="I49" s="564">
        <v>52</v>
      </c>
      <c r="J49" s="767">
        <v>0.125</v>
      </c>
    </row>
    <row r="50" spans="1:10" x14ac:dyDescent="0.2">
      <c r="A50">
        <v>23</v>
      </c>
      <c r="B50" t="s">
        <v>4691</v>
      </c>
      <c r="C50" t="s">
        <v>1292</v>
      </c>
      <c r="D50">
        <v>82</v>
      </c>
      <c r="E50" s="481">
        <f t="shared" si="3"/>
        <v>932.32752303617963</v>
      </c>
      <c r="F50" s="481">
        <f t="shared" si="4"/>
        <v>1864.6550460723593</v>
      </c>
      <c r="G50" s="481">
        <f t="shared" si="5"/>
        <v>2796.9825691085389</v>
      </c>
      <c r="H50" s="564">
        <v>55</v>
      </c>
      <c r="I50" s="564">
        <v>50</v>
      </c>
      <c r="J50" s="767">
        <v>0.33333333333333331</v>
      </c>
    </row>
    <row r="51" spans="1:10" x14ac:dyDescent="0.2">
      <c r="A51">
        <v>24</v>
      </c>
      <c r="B51" t="s">
        <v>4691</v>
      </c>
      <c r="C51" t="s">
        <v>54</v>
      </c>
      <c r="D51">
        <v>83</v>
      </c>
      <c r="E51" s="481">
        <f t="shared" si="3"/>
        <v>987.76660251224826</v>
      </c>
      <c r="F51" s="481">
        <f t="shared" si="4"/>
        <v>1975.5332050244965</v>
      </c>
      <c r="G51" s="481">
        <f t="shared" si="5"/>
        <v>2963.299807536745</v>
      </c>
      <c r="H51" s="564">
        <v>52</v>
      </c>
      <c r="I51" s="564">
        <v>48</v>
      </c>
      <c r="J51" s="767">
        <v>4.1666666666666664E-2</v>
      </c>
    </row>
    <row r="52" spans="1:10" x14ac:dyDescent="0.2">
      <c r="A52">
        <v>25</v>
      </c>
      <c r="B52" t="s">
        <v>4692</v>
      </c>
      <c r="C52" t="s">
        <v>55</v>
      </c>
      <c r="D52">
        <v>84</v>
      </c>
      <c r="E52" s="481">
        <f t="shared" si="3"/>
        <v>1046.5022612023945</v>
      </c>
      <c r="F52" s="481">
        <f t="shared" si="4"/>
        <v>2093.004522404789</v>
      </c>
      <c r="G52" s="481">
        <f t="shared" si="5"/>
        <v>3139.5067836071835</v>
      </c>
      <c r="H52" s="564">
        <v>42</v>
      </c>
      <c r="I52" s="564">
        <v>40</v>
      </c>
      <c r="J52" s="767">
        <v>0.25</v>
      </c>
    </row>
    <row r="53" spans="1:10" x14ac:dyDescent="0.2">
      <c r="A53">
        <v>26</v>
      </c>
      <c r="B53" t="s">
        <v>4692</v>
      </c>
      <c r="C53" t="s">
        <v>1377</v>
      </c>
      <c r="D53">
        <v>85</v>
      </c>
      <c r="E53" s="481">
        <f t="shared" si="3"/>
        <v>1108.7305239074883</v>
      </c>
      <c r="F53" s="481">
        <f t="shared" si="4"/>
        <v>2217.4610478149766</v>
      </c>
      <c r="G53" s="481">
        <f t="shared" si="5"/>
        <v>3326.1915717224647</v>
      </c>
      <c r="H53" s="564">
        <v>40</v>
      </c>
      <c r="I53" s="564">
        <v>38</v>
      </c>
      <c r="J53" s="767">
        <v>0.20833333333333334</v>
      </c>
    </row>
    <row r="54" spans="1:10" x14ac:dyDescent="0.2">
      <c r="A54">
        <v>27</v>
      </c>
      <c r="B54" t="s">
        <v>4692</v>
      </c>
      <c r="C54" t="s">
        <v>58</v>
      </c>
      <c r="D54">
        <v>86</v>
      </c>
      <c r="E54" s="481">
        <f t="shared" si="3"/>
        <v>1174.6590716696303</v>
      </c>
      <c r="F54" s="481">
        <f t="shared" si="4"/>
        <v>2349.3181433392606</v>
      </c>
      <c r="G54" s="481">
        <f t="shared" si="5"/>
        <v>3523.9772150088911</v>
      </c>
      <c r="H54" s="564">
        <v>38</v>
      </c>
      <c r="I54" s="564">
        <v>36</v>
      </c>
      <c r="J54" s="767">
        <v>0.45833333333333331</v>
      </c>
    </row>
    <row r="55" spans="1:10" x14ac:dyDescent="0.2">
      <c r="A55">
        <v>28</v>
      </c>
      <c r="B55" t="s">
        <v>4692</v>
      </c>
      <c r="C55" t="s">
        <v>248</v>
      </c>
      <c r="D55">
        <v>88</v>
      </c>
      <c r="E55" s="481">
        <f t="shared" si="3"/>
        <v>1318.5102276514795</v>
      </c>
      <c r="F55" s="481">
        <f t="shared" si="4"/>
        <v>2637.0204553029589</v>
      </c>
      <c r="G55" s="481">
        <f t="shared" si="5"/>
        <v>3955.5306829544384</v>
      </c>
      <c r="H55" s="564">
        <v>35</v>
      </c>
      <c r="I55" s="564">
        <v>34</v>
      </c>
      <c r="J55" s="767">
        <v>0.16666666666666666</v>
      </c>
    </row>
    <row r="56" spans="1:10" x14ac:dyDescent="0.2">
      <c r="A56">
        <v>29</v>
      </c>
      <c r="B56" t="s">
        <v>4692</v>
      </c>
      <c r="C56" t="s">
        <v>1379</v>
      </c>
      <c r="D56">
        <v>90</v>
      </c>
      <c r="E56" s="481">
        <f t="shared" si="3"/>
        <v>1479.9776908465376</v>
      </c>
      <c r="F56" s="481">
        <f t="shared" si="4"/>
        <v>2959.9553816930752</v>
      </c>
      <c r="G56" s="481">
        <f t="shared" si="5"/>
        <v>4439.933072539613</v>
      </c>
      <c r="H56" s="564">
        <v>32</v>
      </c>
      <c r="I56" s="564">
        <v>32</v>
      </c>
      <c r="J56" s="767">
        <v>0.5</v>
      </c>
    </row>
    <row r="58" spans="1:10" ht="15" x14ac:dyDescent="0.25">
      <c r="A58" s="735" t="s">
        <v>1543</v>
      </c>
      <c r="B58" s="736"/>
      <c r="C58" s="736"/>
      <c r="D58" s="736"/>
      <c r="E58" s="736"/>
      <c r="F58" s="736"/>
    </row>
    <row r="59" spans="1:10" x14ac:dyDescent="0.2">
      <c r="A59" s="475" t="s">
        <v>610</v>
      </c>
      <c r="B59" s="475" t="s">
        <v>1545</v>
      </c>
      <c r="C59" s="475" t="s">
        <v>1546</v>
      </c>
      <c r="D59" s="475" t="s">
        <v>4057</v>
      </c>
      <c r="E59" s="475" t="s">
        <v>1548</v>
      </c>
      <c r="F59" s="475" t="s">
        <v>1549</v>
      </c>
    </row>
    <row r="60" spans="1:10" x14ac:dyDescent="0.2">
      <c r="A60">
        <v>1</v>
      </c>
      <c r="B60" t="s">
        <v>4693</v>
      </c>
      <c r="C60">
        <v>1</v>
      </c>
      <c r="D60" t="s">
        <v>4694</v>
      </c>
      <c r="E60" t="s">
        <v>4695</v>
      </c>
      <c r="F60" s="564" t="s">
        <v>4073</v>
      </c>
    </row>
    <row r="61" spans="1:10" x14ac:dyDescent="0.2">
      <c r="A61">
        <v>2</v>
      </c>
      <c r="B61" t="s">
        <v>4696</v>
      </c>
      <c r="C61">
        <v>1</v>
      </c>
      <c r="D61" t="s">
        <v>4697</v>
      </c>
      <c r="E61" t="s">
        <v>4698</v>
      </c>
      <c r="F61" t="s">
        <v>4572</v>
      </c>
    </row>
    <row r="62" spans="1:10" x14ac:dyDescent="0.2">
      <c r="A62">
        <v>3</v>
      </c>
      <c r="B62" t="s">
        <v>4699</v>
      </c>
      <c r="C62">
        <v>1</v>
      </c>
      <c r="D62" t="s">
        <v>4700</v>
      </c>
      <c r="E62" t="s">
        <v>4701</v>
      </c>
      <c r="F62" t="s">
        <v>4093</v>
      </c>
    </row>
    <row r="63" spans="1:10" x14ac:dyDescent="0.2">
      <c r="A63">
        <v>4</v>
      </c>
      <c r="B63" t="s">
        <v>4702</v>
      </c>
      <c r="C63">
        <v>1</v>
      </c>
      <c r="D63" t="s">
        <v>4703</v>
      </c>
      <c r="E63" t="s">
        <v>4704</v>
      </c>
      <c r="F63" t="s">
        <v>4705</v>
      </c>
    </row>
    <row r="64" spans="1:10" x14ac:dyDescent="0.2">
      <c r="A64">
        <v>5</v>
      </c>
      <c r="B64" t="s">
        <v>4706</v>
      </c>
      <c r="C64">
        <v>2</v>
      </c>
      <c r="D64" t="s">
        <v>4707</v>
      </c>
      <c r="E64" t="s">
        <v>4708</v>
      </c>
      <c r="F64" t="s">
        <v>4263</v>
      </c>
    </row>
    <row r="65" spans="1:6" x14ac:dyDescent="0.2">
      <c r="A65">
        <v>6</v>
      </c>
      <c r="B65" t="s">
        <v>4709</v>
      </c>
      <c r="C65">
        <v>1</v>
      </c>
      <c r="D65" t="s">
        <v>4255</v>
      </c>
      <c r="E65" t="s">
        <v>4710</v>
      </c>
      <c r="F65" t="s">
        <v>4081</v>
      </c>
    </row>
    <row r="66" spans="1:6" x14ac:dyDescent="0.2">
      <c r="A66">
        <v>7</v>
      </c>
      <c r="B66" t="s">
        <v>4711</v>
      </c>
      <c r="C66">
        <v>1</v>
      </c>
      <c r="D66" t="s">
        <v>4712</v>
      </c>
      <c r="E66" t="s">
        <v>4713</v>
      </c>
      <c r="F66" t="s">
        <v>4093</v>
      </c>
    </row>
    <row r="67" spans="1:6" x14ac:dyDescent="0.2">
      <c r="A67">
        <v>8</v>
      </c>
      <c r="B67" t="s">
        <v>4714</v>
      </c>
      <c r="C67">
        <v>1</v>
      </c>
      <c r="D67" t="s">
        <v>4715</v>
      </c>
      <c r="E67" t="s">
        <v>4716</v>
      </c>
      <c r="F67" t="s">
        <v>4085</v>
      </c>
    </row>
    <row r="68" spans="1:6" x14ac:dyDescent="0.2">
      <c r="A68">
        <v>9</v>
      </c>
      <c r="B68" t="s">
        <v>4717</v>
      </c>
      <c r="C68">
        <v>1</v>
      </c>
      <c r="D68" t="s">
        <v>4718</v>
      </c>
      <c r="E68" t="s">
        <v>4719</v>
      </c>
      <c r="F68" t="s">
        <v>4720</v>
      </c>
    </row>
    <row r="69" spans="1:6" x14ac:dyDescent="0.2">
      <c r="A69">
        <v>10</v>
      </c>
      <c r="B69" t="s">
        <v>4721</v>
      </c>
      <c r="C69">
        <v>1</v>
      </c>
      <c r="D69" t="s">
        <v>4722</v>
      </c>
      <c r="E69" t="s">
        <v>4723</v>
      </c>
      <c r="F69" t="s">
        <v>4069</v>
      </c>
    </row>
    <row r="70" spans="1:6" x14ac:dyDescent="0.2">
      <c r="B70" s="472" t="s">
        <v>4098</v>
      </c>
      <c r="F70" s="472" t="s">
        <v>4724</v>
      </c>
    </row>
    <row r="72" spans="1:6" ht="15" x14ac:dyDescent="0.25">
      <c r="A72" s="747" t="s">
        <v>1849</v>
      </c>
      <c r="B72" s="748"/>
      <c r="C72" s="748"/>
      <c r="D72" s="748"/>
      <c r="E72" s="748"/>
      <c r="F72" s="748"/>
    </row>
    <row r="73" spans="1:6" x14ac:dyDescent="0.2">
      <c r="A73" s="768" t="s">
        <v>610</v>
      </c>
      <c r="B73" s="768" t="s">
        <v>1623</v>
      </c>
      <c r="C73" s="768" t="s">
        <v>1624</v>
      </c>
      <c r="D73" s="768" t="s">
        <v>4100</v>
      </c>
      <c r="E73" s="768" t="s">
        <v>4101</v>
      </c>
    </row>
    <row r="74" spans="1:6" x14ac:dyDescent="0.2">
      <c r="A74">
        <v>1</v>
      </c>
      <c r="B74" t="s">
        <v>4725</v>
      </c>
      <c r="C74" t="s">
        <v>4726</v>
      </c>
      <c r="D74" t="s">
        <v>4727</v>
      </c>
      <c r="E74" t="s">
        <v>4728</v>
      </c>
    </row>
    <row r="75" spans="1:6" x14ac:dyDescent="0.2">
      <c r="A75">
        <v>2</v>
      </c>
      <c r="B75" t="s">
        <v>4725</v>
      </c>
      <c r="C75" t="s">
        <v>4729</v>
      </c>
      <c r="D75" t="s">
        <v>4730</v>
      </c>
      <c r="E75" t="s">
        <v>4731</v>
      </c>
    </row>
    <row r="76" spans="1:6" x14ac:dyDescent="0.2">
      <c r="A76">
        <v>3</v>
      </c>
      <c r="B76" t="s">
        <v>4732</v>
      </c>
      <c r="C76" t="s">
        <v>4733</v>
      </c>
      <c r="D76" t="s">
        <v>4734</v>
      </c>
      <c r="E76" t="s">
        <v>4735</v>
      </c>
    </row>
    <row r="77" spans="1:6" x14ac:dyDescent="0.2">
      <c r="A77">
        <v>4</v>
      </c>
      <c r="B77" t="s">
        <v>4736</v>
      </c>
      <c r="C77" t="s">
        <v>4737</v>
      </c>
      <c r="D77" t="s">
        <v>4699</v>
      </c>
      <c r="E77" t="s">
        <v>4738</v>
      </c>
    </row>
    <row r="78" spans="1:6" x14ac:dyDescent="0.2">
      <c r="A78">
        <v>5</v>
      </c>
      <c r="B78" t="s">
        <v>4739</v>
      </c>
      <c r="C78" t="s">
        <v>4740</v>
      </c>
      <c r="D78" t="s">
        <v>4741</v>
      </c>
      <c r="E78" t="s">
        <v>4742</v>
      </c>
    </row>
    <row r="79" spans="1:6" x14ac:dyDescent="0.2">
      <c r="A79">
        <v>6</v>
      </c>
      <c r="B79" t="s">
        <v>4743</v>
      </c>
      <c r="C79" t="s">
        <v>4744</v>
      </c>
      <c r="D79" t="s">
        <v>4745</v>
      </c>
      <c r="E79" t="s">
        <v>4746</v>
      </c>
    </row>
    <row r="80" spans="1:6" x14ac:dyDescent="0.2">
      <c r="A80">
        <v>7</v>
      </c>
      <c r="B80" t="s">
        <v>4280</v>
      </c>
      <c r="C80" t="s">
        <v>4747</v>
      </c>
      <c r="D80" t="s">
        <v>4748</v>
      </c>
      <c r="E80" t="s">
        <v>4749</v>
      </c>
    </row>
    <row r="81" spans="1:6" x14ac:dyDescent="0.2">
      <c r="A81">
        <v>8</v>
      </c>
      <c r="B81" t="s">
        <v>4750</v>
      </c>
      <c r="C81" t="s">
        <v>4751</v>
      </c>
      <c r="D81" t="s">
        <v>4752</v>
      </c>
      <c r="E81" t="s">
        <v>4753</v>
      </c>
    </row>
    <row r="82" spans="1:6" x14ac:dyDescent="0.2">
      <c r="A82">
        <v>9</v>
      </c>
      <c r="B82" t="s">
        <v>4754</v>
      </c>
      <c r="C82" t="s">
        <v>4755</v>
      </c>
      <c r="D82" t="s">
        <v>4133</v>
      </c>
      <c r="E82" t="s">
        <v>4756</v>
      </c>
    </row>
    <row r="83" spans="1:6" x14ac:dyDescent="0.2">
      <c r="A83">
        <v>10</v>
      </c>
      <c r="B83" t="s">
        <v>4754</v>
      </c>
      <c r="C83" t="s">
        <v>4757</v>
      </c>
      <c r="D83" t="s">
        <v>4139</v>
      </c>
      <c r="E83" t="s">
        <v>4758</v>
      </c>
    </row>
    <row r="84" spans="1:6" x14ac:dyDescent="0.2">
      <c r="A84">
        <v>11</v>
      </c>
      <c r="B84" t="s">
        <v>4759</v>
      </c>
      <c r="C84" t="s">
        <v>4760</v>
      </c>
      <c r="D84" t="s">
        <v>4151</v>
      </c>
      <c r="E84" t="s">
        <v>4761</v>
      </c>
    </row>
    <row r="85" spans="1:6" x14ac:dyDescent="0.2">
      <c r="A85">
        <v>12</v>
      </c>
      <c r="B85" t="s">
        <v>4759</v>
      </c>
      <c r="C85" t="s">
        <v>4762</v>
      </c>
      <c r="D85" t="s">
        <v>4763</v>
      </c>
      <c r="E85" t="s">
        <v>4764</v>
      </c>
    </row>
    <row r="86" spans="1:6" x14ac:dyDescent="0.2">
      <c r="A86">
        <v>13</v>
      </c>
      <c r="B86" t="s">
        <v>1595</v>
      </c>
      <c r="C86" t="s">
        <v>4765</v>
      </c>
      <c r="D86" t="s">
        <v>4766</v>
      </c>
      <c r="E86" t="s">
        <v>4767</v>
      </c>
    </row>
    <row r="87" spans="1:6" x14ac:dyDescent="0.2">
      <c r="A87">
        <v>14</v>
      </c>
      <c r="B87" t="s">
        <v>1595</v>
      </c>
      <c r="C87" t="s">
        <v>4768</v>
      </c>
      <c r="D87" t="s">
        <v>4769</v>
      </c>
      <c r="E87" t="s">
        <v>4770</v>
      </c>
    </row>
    <row r="89" spans="1:6" ht="15" x14ac:dyDescent="0.25">
      <c r="A89" s="751" t="s">
        <v>1532</v>
      </c>
      <c r="B89" s="752"/>
      <c r="C89" s="752"/>
      <c r="D89" s="752"/>
      <c r="E89" s="752"/>
      <c r="F89" s="752"/>
    </row>
    <row r="90" spans="1:6" x14ac:dyDescent="0.2">
      <c r="A90" t="s">
        <v>4771</v>
      </c>
    </row>
    <row r="91" spans="1:6" x14ac:dyDescent="0.2">
      <c r="A91" t="s">
        <v>4772</v>
      </c>
    </row>
    <row r="92" spans="1:6" x14ac:dyDescent="0.2">
      <c r="A92" t="s">
        <v>4773</v>
      </c>
    </row>
    <row r="93" spans="1:6" x14ac:dyDescent="0.2">
      <c r="A93" t="s">
        <v>4774</v>
      </c>
    </row>
    <row r="94" spans="1:6" x14ac:dyDescent="0.2">
      <c r="A94" t="s">
        <v>4775</v>
      </c>
    </row>
    <row r="95" spans="1:6" x14ac:dyDescent="0.2">
      <c r="A95" t="s">
        <v>4776</v>
      </c>
    </row>
    <row r="96" spans="1:6" x14ac:dyDescent="0.2">
      <c r="A96" t="s">
        <v>4777</v>
      </c>
    </row>
    <row r="97" spans="1:1" x14ac:dyDescent="0.2">
      <c r="A97" t="s">
        <v>4778</v>
      </c>
    </row>
    <row r="98" spans="1:1" x14ac:dyDescent="0.2">
      <c r="A98" t="s">
        <v>4779</v>
      </c>
    </row>
    <row r="99" spans="1:1" x14ac:dyDescent="0.2">
      <c r="A99" t="s">
        <v>4780</v>
      </c>
    </row>
    <row r="102" spans="1:1" ht="18" x14ac:dyDescent="0.25">
      <c r="A102" s="833" t="s">
        <v>6406</v>
      </c>
    </row>
    <row r="103" spans="1:1" x14ac:dyDescent="0.2">
      <c r="A103" s="734" t="s">
        <v>6407</v>
      </c>
    </row>
    <row r="105" spans="1:1" x14ac:dyDescent="0.2">
      <c r="A105" s="609" t="s">
        <v>6324</v>
      </c>
    </row>
    <row r="106" spans="1:1" x14ac:dyDescent="0.2">
      <c r="A106" t="s">
        <v>6408</v>
      </c>
    </row>
    <row r="107" spans="1:1" x14ac:dyDescent="0.2">
      <c r="A107" s="759" t="s">
        <v>6409</v>
      </c>
    </row>
    <row r="108" spans="1:1" x14ac:dyDescent="0.2">
      <c r="A108" t="s">
        <v>6410</v>
      </c>
    </row>
    <row r="109" spans="1:1" x14ac:dyDescent="0.2">
      <c r="A109" t="s">
        <v>6411</v>
      </c>
    </row>
    <row r="111" spans="1:1" x14ac:dyDescent="0.2">
      <c r="A111" s="609" t="s">
        <v>6328</v>
      </c>
    </row>
    <row r="112" spans="1:1" x14ac:dyDescent="0.2">
      <c r="A112" t="s">
        <v>6412</v>
      </c>
    </row>
    <row r="113" spans="1:1" x14ac:dyDescent="0.2">
      <c r="A113" t="s">
        <v>6413</v>
      </c>
    </row>
    <row r="114" spans="1:1" x14ac:dyDescent="0.2">
      <c r="A114" t="s">
        <v>6414</v>
      </c>
    </row>
    <row r="115" spans="1:1" x14ac:dyDescent="0.2">
      <c r="A115" t="s">
        <v>6415</v>
      </c>
    </row>
    <row r="117" spans="1:1" x14ac:dyDescent="0.2">
      <c r="A117" s="609" t="s">
        <v>6287</v>
      </c>
    </row>
    <row r="118" spans="1:1" x14ac:dyDescent="0.2">
      <c r="A118" t="s">
        <v>6416</v>
      </c>
    </row>
    <row r="119" spans="1:1" x14ac:dyDescent="0.2">
      <c r="A119" t="s">
        <v>6417</v>
      </c>
    </row>
    <row r="120" spans="1:1" x14ac:dyDescent="0.2">
      <c r="A120" t="s">
        <v>6418</v>
      </c>
    </row>
    <row r="121" spans="1:1" x14ac:dyDescent="0.2">
      <c r="A121" t="s">
        <v>6419</v>
      </c>
    </row>
    <row r="123" spans="1:1" x14ac:dyDescent="0.2">
      <c r="A123" s="609" t="s">
        <v>6420</v>
      </c>
    </row>
    <row r="124" spans="1:1" x14ac:dyDescent="0.2">
      <c r="A124" t="s">
        <v>6421</v>
      </c>
    </row>
    <row r="125" spans="1:1" x14ac:dyDescent="0.2">
      <c r="A125" t="s">
        <v>6422</v>
      </c>
    </row>
    <row r="126" spans="1:1" x14ac:dyDescent="0.2">
      <c r="A126" t="s">
        <v>6423</v>
      </c>
    </row>
    <row r="127" spans="1:1" x14ac:dyDescent="0.2">
      <c r="A127" t="s">
        <v>6424</v>
      </c>
    </row>
    <row r="129" spans="1:1" x14ac:dyDescent="0.2">
      <c r="A129" s="609" t="s">
        <v>6425</v>
      </c>
    </row>
    <row r="130" spans="1:1" x14ac:dyDescent="0.2">
      <c r="A130" t="s">
        <v>6426</v>
      </c>
    </row>
    <row r="131" spans="1:1" x14ac:dyDescent="0.2">
      <c r="A131" t="s">
        <v>6427</v>
      </c>
    </row>
    <row r="132" spans="1:1" x14ac:dyDescent="0.2">
      <c r="A132" t="s">
        <v>6428</v>
      </c>
    </row>
    <row r="134" spans="1:1" x14ac:dyDescent="0.2">
      <c r="A134" s="609" t="s">
        <v>6429</v>
      </c>
    </row>
    <row r="135" spans="1:1" x14ac:dyDescent="0.2">
      <c r="A135" t="s">
        <v>6430</v>
      </c>
    </row>
    <row r="136" spans="1:1" x14ac:dyDescent="0.2">
      <c r="A136" t="s">
        <v>6431</v>
      </c>
    </row>
    <row r="137" spans="1:1" x14ac:dyDescent="0.2">
      <c r="A137" t="s">
        <v>6432</v>
      </c>
    </row>
    <row r="139" spans="1:1" x14ac:dyDescent="0.2">
      <c r="A139" s="609" t="s">
        <v>6433</v>
      </c>
    </row>
    <row r="140" spans="1:1" x14ac:dyDescent="0.2">
      <c r="A140" t="s">
        <v>6434</v>
      </c>
    </row>
    <row r="141" spans="1:1" x14ac:dyDescent="0.2">
      <c r="A141" t="s">
        <v>6435</v>
      </c>
    </row>
    <row r="144" spans="1:1" ht="18" x14ac:dyDescent="0.25">
      <c r="A144" s="838" t="s">
        <v>7159</v>
      </c>
    </row>
    <row r="145" spans="1:1" x14ac:dyDescent="0.2">
      <c r="A145" s="734" t="s">
        <v>7131</v>
      </c>
    </row>
    <row r="147" spans="1:1" x14ac:dyDescent="0.2">
      <c r="A147" s="839" t="s">
        <v>7132</v>
      </c>
    </row>
    <row r="148" spans="1:1" x14ac:dyDescent="0.2">
      <c r="A148" t="s">
        <v>7160</v>
      </c>
    </row>
    <row r="149" spans="1:1" x14ac:dyDescent="0.2">
      <c r="A149" t="s">
        <v>7161</v>
      </c>
    </row>
    <row r="150" spans="1:1" x14ac:dyDescent="0.2">
      <c r="A150" t="s">
        <v>7162</v>
      </c>
    </row>
    <row r="151" spans="1:1" x14ac:dyDescent="0.2">
      <c r="A151" t="s">
        <v>7163</v>
      </c>
    </row>
    <row r="152" spans="1:1" x14ac:dyDescent="0.2">
      <c r="A152" t="s">
        <v>7164</v>
      </c>
    </row>
  </sheetData>
  <pageMargins left="0.7" right="0.7" top="0.75" bottom="0.75" header="0.3" footer="0.3"/>
  <legacyDrawing r:id="rId1"/>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F6B83-8E8F-4E88-AD82-1A4C513C10FF}">
  <dimension ref="A1:G153"/>
  <sheetViews>
    <sheetView workbookViewId="0">
      <pane ySplit="3" topLeftCell="A4" activePane="bottomLeft" state="frozen"/>
      <selection pane="bottomLeft"/>
    </sheetView>
  </sheetViews>
  <sheetFormatPr defaultRowHeight="12.75" x14ac:dyDescent="0.2"/>
  <cols>
    <col min="1" max="1" width="137.140625" customWidth="1"/>
    <col min="2" max="2" width="38.140625" customWidth="1"/>
    <col min="3" max="3" width="22.85546875" customWidth="1"/>
    <col min="4" max="4" width="38.140625" customWidth="1"/>
    <col min="5" max="5" width="34.28515625" customWidth="1"/>
    <col min="6" max="6" width="26.7109375" customWidth="1"/>
    <col min="7" max="7" width="30.42578125" customWidth="1"/>
  </cols>
  <sheetData>
    <row r="1" spans="1:4" ht="18" x14ac:dyDescent="0.25">
      <c r="A1" s="470" t="s">
        <v>4784</v>
      </c>
    </row>
    <row r="2" spans="1:4" x14ac:dyDescent="0.2">
      <c r="A2" s="734" t="s">
        <v>4785</v>
      </c>
    </row>
    <row r="4" spans="1:4" ht="15" x14ac:dyDescent="0.25">
      <c r="A4" s="735" t="s">
        <v>1443</v>
      </c>
      <c r="B4" s="736"/>
      <c r="C4" s="736"/>
      <c r="D4" s="736"/>
    </row>
    <row r="5" spans="1:4" x14ac:dyDescent="0.2">
      <c r="A5" t="s">
        <v>3770</v>
      </c>
      <c r="B5" s="564" t="s">
        <v>1566</v>
      </c>
      <c r="C5" t="s">
        <v>4786</v>
      </c>
    </row>
    <row r="6" spans="1:4" x14ac:dyDescent="0.2">
      <c r="A6" t="s">
        <v>4787</v>
      </c>
      <c r="B6" s="565">
        <v>18</v>
      </c>
      <c r="C6" t="s">
        <v>4788</v>
      </c>
    </row>
    <row r="7" spans="1:4" x14ac:dyDescent="0.2">
      <c r="A7" t="s">
        <v>1371</v>
      </c>
      <c r="B7" s="565">
        <v>12</v>
      </c>
      <c r="C7" t="s">
        <v>4789</v>
      </c>
    </row>
    <row r="8" spans="1:4" x14ac:dyDescent="0.2">
      <c r="A8" t="s">
        <v>4790</v>
      </c>
      <c r="B8" s="565">
        <v>12</v>
      </c>
      <c r="C8" t="s">
        <v>4791</v>
      </c>
    </row>
    <row r="9" spans="1:4" x14ac:dyDescent="0.2">
      <c r="A9" t="s">
        <v>4792</v>
      </c>
      <c r="B9" s="596">
        <v>0.75</v>
      </c>
      <c r="C9" t="s">
        <v>4793</v>
      </c>
    </row>
    <row r="10" spans="1:4" x14ac:dyDescent="0.2">
      <c r="A10" t="s">
        <v>4794</v>
      </c>
      <c r="B10" s="596">
        <v>0.11799999999999999</v>
      </c>
      <c r="C10" t="s">
        <v>4795</v>
      </c>
    </row>
    <row r="11" spans="1:4" x14ac:dyDescent="0.2">
      <c r="A11" t="s">
        <v>4796</v>
      </c>
      <c r="B11" s="596">
        <v>0.5</v>
      </c>
      <c r="C11" t="s">
        <v>4797</v>
      </c>
    </row>
    <row r="12" spans="1:4" x14ac:dyDescent="0.2">
      <c r="A12" t="s">
        <v>4798</v>
      </c>
      <c r="B12" s="565">
        <v>4.5</v>
      </c>
      <c r="C12" t="s">
        <v>4799</v>
      </c>
    </row>
    <row r="13" spans="1:4" x14ac:dyDescent="0.2">
      <c r="A13" t="s">
        <v>1473</v>
      </c>
      <c r="B13" s="564" t="s">
        <v>398</v>
      </c>
      <c r="C13" t="s">
        <v>4800</v>
      </c>
    </row>
    <row r="14" spans="1:4" x14ac:dyDescent="0.2">
      <c r="A14" t="s">
        <v>4801</v>
      </c>
      <c r="B14" s="564" t="s">
        <v>4802</v>
      </c>
      <c r="C14" t="s">
        <v>4803</v>
      </c>
    </row>
    <row r="15" spans="1:4" x14ac:dyDescent="0.2">
      <c r="A15" t="s">
        <v>4804</v>
      </c>
      <c r="B15" s="564" t="s">
        <v>4805</v>
      </c>
      <c r="C15" t="s">
        <v>4806</v>
      </c>
    </row>
    <row r="16" spans="1:4" x14ac:dyDescent="0.2">
      <c r="A16" t="s">
        <v>4807</v>
      </c>
      <c r="B16" s="564" t="s">
        <v>4808</v>
      </c>
      <c r="C16" t="s">
        <v>4809</v>
      </c>
    </row>
    <row r="17" spans="1:7" x14ac:dyDescent="0.2">
      <c r="A17" t="s">
        <v>4810</v>
      </c>
      <c r="B17" s="564" t="s">
        <v>4811</v>
      </c>
      <c r="C17" t="s">
        <v>4812</v>
      </c>
    </row>
    <row r="19" spans="1:7" ht="15" x14ac:dyDescent="0.25">
      <c r="A19" s="738" t="s">
        <v>1156</v>
      </c>
      <c r="B19" s="739"/>
      <c r="C19" s="739"/>
      <c r="D19" s="739"/>
      <c r="E19" s="739"/>
      <c r="F19" s="739"/>
      <c r="G19" s="739"/>
    </row>
    <row r="20" spans="1:7" x14ac:dyDescent="0.2">
      <c r="A20" s="484" t="s">
        <v>3770</v>
      </c>
      <c r="B20" s="480" t="s">
        <v>4813</v>
      </c>
      <c r="C20" s="484" t="s">
        <v>4814</v>
      </c>
      <c r="D20" s="484" t="s">
        <v>4815</v>
      </c>
      <c r="E20" s="484" t="s">
        <v>4816</v>
      </c>
      <c r="F20" s="484" t="s">
        <v>3772</v>
      </c>
      <c r="G20" s="484" t="s">
        <v>4817</v>
      </c>
    </row>
    <row r="21" spans="1:7" x14ac:dyDescent="0.2">
      <c r="A21" t="s">
        <v>4818</v>
      </c>
      <c r="B21">
        <v>15</v>
      </c>
      <c r="C21">
        <v>11</v>
      </c>
      <c r="D21">
        <v>11</v>
      </c>
      <c r="E21" s="662">
        <f>B21*C21*D21</f>
        <v>1815</v>
      </c>
      <c r="F21" t="s">
        <v>4819</v>
      </c>
      <c r="G21" t="s">
        <v>4820</v>
      </c>
    </row>
    <row r="22" spans="1:7" x14ac:dyDescent="0.2">
      <c r="A22" t="s">
        <v>4821</v>
      </c>
      <c r="B22">
        <v>18</v>
      </c>
      <c r="C22">
        <v>12</v>
      </c>
      <c r="D22">
        <v>12</v>
      </c>
      <c r="E22" s="662">
        <f>B22*C22*D22</f>
        <v>2592</v>
      </c>
      <c r="F22" t="s">
        <v>4822</v>
      </c>
      <c r="G22" t="s">
        <v>4823</v>
      </c>
    </row>
    <row r="23" spans="1:7" x14ac:dyDescent="0.2">
      <c r="A23" t="s">
        <v>4824</v>
      </c>
      <c r="B23">
        <v>22</v>
      </c>
      <c r="C23">
        <v>14</v>
      </c>
      <c r="D23">
        <v>14</v>
      </c>
      <c r="E23" s="662">
        <f>B23*C23*D23</f>
        <v>4312</v>
      </c>
      <c r="F23" t="s">
        <v>4825</v>
      </c>
      <c r="G23" t="s">
        <v>4826</v>
      </c>
    </row>
    <row r="25" spans="1:7" ht="15" x14ac:dyDescent="0.25">
      <c r="A25" s="743" t="s">
        <v>4827</v>
      </c>
      <c r="B25" s="744"/>
      <c r="C25" s="744"/>
      <c r="D25" s="744"/>
      <c r="E25" s="744"/>
    </row>
    <row r="26" spans="1:7" x14ac:dyDescent="0.2">
      <c r="A26" t="s">
        <v>1457</v>
      </c>
      <c r="B26">
        <v>13552</v>
      </c>
    </row>
    <row r="27" spans="1:7" x14ac:dyDescent="0.2">
      <c r="A27" t="s">
        <v>3754</v>
      </c>
      <c r="B27" s="710">
        <f>(B6-2*B9)*(B7-2*B9)*(B8-B9-B11)</f>
        <v>1862.4375</v>
      </c>
    </row>
    <row r="28" spans="1:7" x14ac:dyDescent="0.2">
      <c r="A28" t="s">
        <v>4828</v>
      </c>
      <c r="B28" s="469">
        <f>PI()*(B12/2)^2</f>
        <v>15.904312808798327</v>
      </c>
    </row>
    <row r="29" spans="1:7" x14ac:dyDescent="0.2">
      <c r="A29" t="s">
        <v>3188</v>
      </c>
      <c r="B29" s="482">
        <f>B11</f>
        <v>0.5</v>
      </c>
    </row>
    <row r="30" spans="1:7" x14ac:dyDescent="0.2">
      <c r="A30" t="s">
        <v>3962</v>
      </c>
      <c r="B30" s="707">
        <f>(B26/(2*PI()))*SQRT(B28/(B27*B29))</f>
        <v>281.8740679324427</v>
      </c>
    </row>
    <row r="31" spans="1:7" x14ac:dyDescent="0.2">
      <c r="A31" t="s">
        <v>3963</v>
      </c>
      <c r="B31" s="472" t="str">
        <f>CHOOSE(MOD(ROUND(12*LOG(B30/440,2)+69,0),12)+1,"C","C#","D","D#","E","F","F#","G","G#","A","A#","B")&amp;INT((ROUND(12*LOG(B30/440,2)+69,0))/12-1)</f>
        <v>C#4</v>
      </c>
    </row>
    <row r="32" spans="1:7" x14ac:dyDescent="0.2">
      <c r="A32" s="734" t="s">
        <v>4829</v>
      </c>
    </row>
    <row r="34" spans="1:6" ht="15" x14ac:dyDescent="0.25">
      <c r="A34" s="764" t="s">
        <v>4830</v>
      </c>
      <c r="B34" s="765"/>
      <c r="C34" s="765"/>
      <c r="D34" s="765"/>
      <c r="E34" s="765"/>
      <c r="F34" s="765"/>
    </row>
    <row r="35" spans="1:6" x14ac:dyDescent="0.2">
      <c r="A35" s="713" t="s">
        <v>1622</v>
      </c>
      <c r="B35" s="713" t="s">
        <v>1624</v>
      </c>
      <c r="C35" s="713" t="s">
        <v>4831</v>
      </c>
      <c r="D35" s="713" t="s">
        <v>2896</v>
      </c>
      <c r="E35" s="713" t="s">
        <v>4101</v>
      </c>
      <c r="F35" s="713" t="s">
        <v>2</v>
      </c>
    </row>
    <row r="36" spans="1:6" x14ac:dyDescent="0.2">
      <c r="A36" t="s">
        <v>4832</v>
      </c>
      <c r="B36" t="s">
        <v>4833</v>
      </c>
      <c r="C36" t="s">
        <v>4834</v>
      </c>
      <c r="D36" t="s">
        <v>3999</v>
      </c>
      <c r="E36" t="s">
        <v>4835</v>
      </c>
      <c r="F36" t="s">
        <v>4836</v>
      </c>
    </row>
    <row r="37" spans="1:6" x14ac:dyDescent="0.2">
      <c r="A37" t="s">
        <v>4837</v>
      </c>
      <c r="B37" t="s">
        <v>4838</v>
      </c>
      <c r="C37" t="s">
        <v>4839</v>
      </c>
      <c r="D37" s="564" t="s">
        <v>4840</v>
      </c>
      <c r="E37" t="s">
        <v>4841</v>
      </c>
      <c r="F37" t="s">
        <v>4842</v>
      </c>
    </row>
    <row r="38" spans="1:6" x14ac:dyDescent="0.2">
      <c r="A38" t="s">
        <v>4843</v>
      </c>
      <c r="B38" t="s">
        <v>4844</v>
      </c>
      <c r="C38" t="s">
        <v>4839</v>
      </c>
      <c r="D38" t="s">
        <v>4845</v>
      </c>
      <c r="E38" t="s">
        <v>4846</v>
      </c>
      <c r="F38" t="s">
        <v>4847</v>
      </c>
    </row>
    <row r="39" spans="1:6" x14ac:dyDescent="0.2">
      <c r="A39" t="s">
        <v>4848</v>
      </c>
      <c r="B39" t="s">
        <v>4849</v>
      </c>
      <c r="C39" t="s">
        <v>3999</v>
      </c>
      <c r="D39" t="s">
        <v>3999</v>
      </c>
      <c r="E39" t="s">
        <v>4850</v>
      </c>
      <c r="F39" t="s">
        <v>4851</v>
      </c>
    </row>
    <row r="40" spans="1:6" x14ac:dyDescent="0.2">
      <c r="A40" t="s">
        <v>4852</v>
      </c>
      <c r="B40" t="s">
        <v>4853</v>
      </c>
      <c r="C40" t="s">
        <v>3999</v>
      </c>
      <c r="D40" t="s">
        <v>3999</v>
      </c>
      <c r="E40" t="s">
        <v>4854</v>
      </c>
      <c r="F40" t="s">
        <v>4855</v>
      </c>
    </row>
    <row r="41" spans="1:6" x14ac:dyDescent="0.2">
      <c r="A41" t="s">
        <v>4856</v>
      </c>
      <c r="B41" t="s">
        <v>4857</v>
      </c>
      <c r="C41" t="s">
        <v>3999</v>
      </c>
      <c r="D41" t="s">
        <v>3999</v>
      </c>
      <c r="E41" t="s">
        <v>4858</v>
      </c>
      <c r="F41" t="s">
        <v>4859</v>
      </c>
    </row>
    <row r="43" spans="1:6" x14ac:dyDescent="0.2">
      <c r="A43" s="713" t="s">
        <v>4860</v>
      </c>
    </row>
    <row r="44" spans="1:6" x14ac:dyDescent="0.2">
      <c r="A44" t="s">
        <v>4861</v>
      </c>
    </row>
    <row r="45" spans="1:6" x14ac:dyDescent="0.2">
      <c r="A45" t="s">
        <v>4862</v>
      </c>
    </row>
    <row r="46" spans="1:6" x14ac:dyDescent="0.2">
      <c r="A46" t="s">
        <v>4863</v>
      </c>
    </row>
    <row r="47" spans="1:6" x14ac:dyDescent="0.2">
      <c r="A47" t="s">
        <v>4864</v>
      </c>
    </row>
    <row r="48" spans="1:6" x14ac:dyDescent="0.2">
      <c r="A48" t="s">
        <v>4865</v>
      </c>
    </row>
    <row r="49" spans="1:6" x14ac:dyDescent="0.2">
      <c r="A49" t="s">
        <v>4866</v>
      </c>
    </row>
    <row r="51" spans="1:6" ht="15" x14ac:dyDescent="0.25">
      <c r="A51" s="747" t="s">
        <v>4867</v>
      </c>
      <c r="B51" s="748"/>
      <c r="C51" s="748"/>
      <c r="D51" s="748"/>
      <c r="E51" s="748"/>
      <c r="F51" s="748"/>
    </row>
    <row r="52" spans="1:6" x14ac:dyDescent="0.2">
      <c r="A52" s="768" t="s">
        <v>4868</v>
      </c>
      <c r="B52" s="768" t="s">
        <v>1484</v>
      </c>
      <c r="C52" s="768" t="s">
        <v>4413</v>
      </c>
      <c r="D52" s="768" t="s">
        <v>4436</v>
      </c>
      <c r="E52" s="768" t="s">
        <v>4869</v>
      </c>
      <c r="F52" s="768" t="s">
        <v>2</v>
      </c>
    </row>
    <row r="53" spans="1:6" x14ac:dyDescent="0.2">
      <c r="A53" t="s">
        <v>4870</v>
      </c>
      <c r="B53" t="s">
        <v>4871</v>
      </c>
      <c r="C53" t="s">
        <v>4872</v>
      </c>
      <c r="D53" t="s">
        <v>4873</v>
      </c>
      <c r="E53" t="s">
        <v>4874</v>
      </c>
      <c r="F53" t="s">
        <v>4875</v>
      </c>
    </row>
    <row r="54" spans="1:6" x14ac:dyDescent="0.2">
      <c r="A54" t="s">
        <v>4876</v>
      </c>
      <c r="B54" t="s">
        <v>4877</v>
      </c>
      <c r="C54" t="s">
        <v>4878</v>
      </c>
      <c r="D54" t="s">
        <v>4879</v>
      </c>
      <c r="E54" t="s">
        <v>4874</v>
      </c>
      <c r="F54" t="s">
        <v>4880</v>
      </c>
    </row>
    <row r="55" spans="1:6" x14ac:dyDescent="0.2">
      <c r="A55" t="s">
        <v>4881</v>
      </c>
      <c r="B55" t="s">
        <v>4882</v>
      </c>
      <c r="C55" t="s">
        <v>4883</v>
      </c>
      <c r="D55" t="s">
        <v>4884</v>
      </c>
      <c r="E55" t="s">
        <v>4885</v>
      </c>
      <c r="F55" t="s">
        <v>4886</v>
      </c>
    </row>
    <row r="56" spans="1:6" x14ac:dyDescent="0.2">
      <c r="A56" t="s">
        <v>4887</v>
      </c>
      <c r="B56" t="s">
        <v>4888</v>
      </c>
      <c r="C56" t="s">
        <v>4872</v>
      </c>
      <c r="D56" t="s">
        <v>4889</v>
      </c>
      <c r="E56" t="s">
        <v>4874</v>
      </c>
      <c r="F56" t="s">
        <v>4890</v>
      </c>
    </row>
    <row r="57" spans="1:6" x14ac:dyDescent="0.2">
      <c r="A57" t="s">
        <v>4891</v>
      </c>
      <c r="B57" t="s">
        <v>4892</v>
      </c>
      <c r="C57" t="s">
        <v>4883</v>
      </c>
      <c r="D57" t="s">
        <v>4893</v>
      </c>
      <c r="E57" t="s">
        <v>4894</v>
      </c>
      <c r="F57" t="s">
        <v>4895</v>
      </c>
    </row>
    <row r="59" spans="1:6" ht="15" x14ac:dyDescent="0.25">
      <c r="A59" s="735" t="s">
        <v>1543</v>
      </c>
      <c r="B59" s="736"/>
      <c r="C59" s="736"/>
      <c r="D59" s="736"/>
      <c r="E59" s="736"/>
      <c r="F59" s="736"/>
    </row>
    <row r="60" spans="1:6" x14ac:dyDescent="0.2">
      <c r="A60" s="475" t="s">
        <v>610</v>
      </c>
      <c r="B60" s="475" t="s">
        <v>1545</v>
      </c>
      <c r="C60" s="475" t="s">
        <v>1546</v>
      </c>
      <c r="D60" s="475" t="s">
        <v>1547</v>
      </c>
      <c r="E60" s="475" t="s">
        <v>1188</v>
      </c>
      <c r="F60" s="475" t="s">
        <v>1549</v>
      </c>
    </row>
    <row r="61" spans="1:6" x14ac:dyDescent="0.2">
      <c r="A61">
        <v>1</v>
      </c>
      <c r="B61" t="s">
        <v>4896</v>
      </c>
      <c r="C61">
        <v>2</v>
      </c>
      <c r="D61" t="s">
        <v>4897</v>
      </c>
      <c r="E61" t="s">
        <v>398</v>
      </c>
      <c r="F61" s="564" t="s">
        <v>4898</v>
      </c>
    </row>
    <row r="62" spans="1:6" x14ac:dyDescent="0.2">
      <c r="A62">
        <v>2</v>
      </c>
      <c r="B62" t="s">
        <v>4899</v>
      </c>
      <c r="C62">
        <v>2</v>
      </c>
      <c r="D62" t="s">
        <v>4900</v>
      </c>
      <c r="E62" t="s">
        <v>398</v>
      </c>
      <c r="F62" t="s">
        <v>4085</v>
      </c>
    </row>
    <row r="63" spans="1:6" x14ac:dyDescent="0.2">
      <c r="A63">
        <v>3</v>
      </c>
      <c r="B63" t="s">
        <v>4901</v>
      </c>
      <c r="C63">
        <v>1</v>
      </c>
      <c r="D63" t="s">
        <v>4902</v>
      </c>
      <c r="E63" t="s">
        <v>4903</v>
      </c>
      <c r="F63" t="s">
        <v>4263</v>
      </c>
    </row>
    <row r="64" spans="1:6" x14ac:dyDescent="0.2">
      <c r="A64">
        <v>4</v>
      </c>
      <c r="B64" t="s">
        <v>4904</v>
      </c>
      <c r="C64">
        <v>1</v>
      </c>
      <c r="D64" t="s">
        <v>4905</v>
      </c>
      <c r="E64" t="s">
        <v>4903</v>
      </c>
      <c r="F64" t="s">
        <v>4906</v>
      </c>
    </row>
    <row r="65" spans="1:6" x14ac:dyDescent="0.2">
      <c r="A65">
        <v>5</v>
      </c>
      <c r="B65" t="s">
        <v>4907</v>
      </c>
      <c r="C65" s="695">
        <v>46086</v>
      </c>
      <c r="D65" t="s">
        <v>4908</v>
      </c>
      <c r="E65" t="s">
        <v>4802</v>
      </c>
      <c r="F65" s="564" t="s">
        <v>4254</v>
      </c>
    </row>
    <row r="66" spans="1:6" x14ac:dyDescent="0.2">
      <c r="A66">
        <v>6</v>
      </c>
      <c r="B66" t="s">
        <v>4909</v>
      </c>
      <c r="C66">
        <v>1</v>
      </c>
      <c r="D66" t="s">
        <v>4910</v>
      </c>
      <c r="E66" t="s">
        <v>4911</v>
      </c>
      <c r="F66" t="s">
        <v>4089</v>
      </c>
    </row>
    <row r="67" spans="1:6" x14ac:dyDescent="0.2">
      <c r="A67">
        <v>7</v>
      </c>
      <c r="B67" t="s">
        <v>4912</v>
      </c>
      <c r="C67" t="s">
        <v>4913</v>
      </c>
      <c r="D67" t="s">
        <v>4914</v>
      </c>
      <c r="E67" t="s">
        <v>4915</v>
      </c>
      <c r="F67" t="s">
        <v>4916</v>
      </c>
    </row>
    <row r="68" spans="1:6" x14ac:dyDescent="0.2">
      <c r="A68">
        <v>8</v>
      </c>
      <c r="B68" t="s">
        <v>2955</v>
      </c>
      <c r="C68">
        <v>4</v>
      </c>
      <c r="D68" t="s">
        <v>4917</v>
      </c>
      <c r="E68" t="s">
        <v>4918</v>
      </c>
      <c r="F68" t="s">
        <v>4919</v>
      </c>
    </row>
    <row r="69" spans="1:6" x14ac:dyDescent="0.2">
      <c r="A69">
        <v>9</v>
      </c>
      <c r="B69" t="s">
        <v>4920</v>
      </c>
      <c r="C69">
        <v>1</v>
      </c>
      <c r="D69" t="s">
        <v>4921</v>
      </c>
      <c r="E69" t="s">
        <v>1616</v>
      </c>
      <c r="F69" t="s">
        <v>4705</v>
      </c>
    </row>
    <row r="70" spans="1:6" x14ac:dyDescent="0.2">
      <c r="A70">
        <v>10</v>
      </c>
      <c r="B70" t="s">
        <v>4922</v>
      </c>
      <c r="C70">
        <v>1</v>
      </c>
      <c r="D70" t="s">
        <v>4923</v>
      </c>
      <c r="E70" t="s">
        <v>1613</v>
      </c>
      <c r="F70" t="s">
        <v>4572</v>
      </c>
    </row>
    <row r="71" spans="1:6" x14ac:dyDescent="0.2">
      <c r="A71">
        <v>11</v>
      </c>
      <c r="B71" t="s">
        <v>4924</v>
      </c>
      <c r="C71" s="695">
        <v>46025</v>
      </c>
      <c r="D71" t="s">
        <v>4925</v>
      </c>
      <c r="E71" t="s">
        <v>4926</v>
      </c>
      <c r="F71" t="s">
        <v>4927</v>
      </c>
    </row>
    <row r="72" spans="1:6" x14ac:dyDescent="0.2">
      <c r="B72" s="472" t="s">
        <v>4098</v>
      </c>
      <c r="F72" s="472" t="s">
        <v>4928</v>
      </c>
    </row>
    <row r="74" spans="1:6" ht="15" x14ac:dyDescent="0.25">
      <c r="A74" s="738" t="s">
        <v>1849</v>
      </c>
      <c r="B74" s="739"/>
      <c r="C74" s="739"/>
      <c r="D74" s="739"/>
      <c r="E74" s="739"/>
      <c r="F74" s="739"/>
    </row>
    <row r="75" spans="1:6" x14ac:dyDescent="0.2">
      <c r="A75" s="484" t="s">
        <v>610</v>
      </c>
      <c r="B75" s="484" t="s">
        <v>1623</v>
      </c>
      <c r="C75" s="484" t="s">
        <v>1624</v>
      </c>
      <c r="D75" s="484" t="s">
        <v>4100</v>
      </c>
      <c r="E75" s="484" t="s">
        <v>4101</v>
      </c>
    </row>
    <row r="76" spans="1:6" x14ac:dyDescent="0.2">
      <c r="A76">
        <v>1</v>
      </c>
      <c r="B76" t="s">
        <v>1642</v>
      </c>
      <c r="C76" t="s">
        <v>4929</v>
      </c>
      <c r="D76" t="s">
        <v>4930</v>
      </c>
      <c r="E76" t="s">
        <v>4931</v>
      </c>
    </row>
    <row r="77" spans="1:6" x14ac:dyDescent="0.2">
      <c r="A77">
        <v>2</v>
      </c>
      <c r="B77" t="s">
        <v>4932</v>
      </c>
      <c r="C77" t="s">
        <v>4933</v>
      </c>
      <c r="D77" t="s">
        <v>4934</v>
      </c>
      <c r="E77" t="s">
        <v>4935</v>
      </c>
    </row>
    <row r="78" spans="1:6" x14ac:dyDescent="0.2">
      <c r="A78">
        <v>3</v>
      </c>
      <c r="B78" t="s">
        <v>4936</v>
      </c>
      <c r="C78" t="s">
        <v>4937</v>
      </c>
      <c r="D78" t="s">
        <v>4938</v>
      </c>
      <c r="E78" t="s">
        <v>4939</v>
      </c>
    </row>
    <row r="79" spans="1:6" x14ac:dyDescent="0.2">
      <c r="A79">
        <v>4</v>
      </c>
      <c r="B79" t="s">
        <v>4936</v>
      </c>
      <c r="C79" t="s">
        <v>4940</v>
      </c>
      <c r="D79" t="s">
        <v>4941</v>
      </c>
      <c r="E79" t="s">
        <v>4942</v>
      </c>
    </row>
    <row r="80" spans="1:6" x14ac:dyDescent="0.2">
      <c r="A80">
        <v>5</v>
      </c>
      <c r="B80" t="s">
        <v>4943</v>
      </c>
      <c r="C80" t="s">
        <v>4944</v>
      </c>
      <c r="D80" t="s">
        <v>4945</v>
      </c>
      <c r="E80" t="s">
        <v>4946</v>
      </c>
    </row>
    <row r="81" spans="1:6" x14ac:dyDescent="0.2">
      <c r="A81">
        <v>6</v>
      </c>
      <c r="B81" t="s">
        <v>4947</v>
      </c>
      <c r="C81" t="s">
        <v>4948</v>
      </c>
      <c r="D81" t="s">
        <v>4949</v>
      </c>
      <c r="E81" t="s">
        <v>4950</v>
      </c>
    </row>
    <row r="82" spans="1:6" x14ac:dyDescent="0.2">
      <c r="A82">
        <v>7</v>
      </c>
      <c r="B82" t="s">
        <v>3887</v>
      </c>
      <c r="C82" t="s">
        <v>4951</v>
      </c>
      <c r="D82" t="s">
        <v>4952</v>
      </c>
      <c r="E82" t="s">
        <v>4953</v>
      </c>
    </row>
    <row r="83" spans="1:6" x14ac:dyDescent="0.2">
      <c r="A83">
        <v>8</v>
      </c>
      <c r="B83" t="s">
        <v>4954</v>
      </c>
      <c r="C83" t="s">
        <v>4955</v>
      </c>
      <c r="D83" t="s">
        <v>4956</v>
      </c>
      <c r="E83" t="s">
        <v>4957</v>
      </c>
    </row>
    <row r="84" spans="1:6" x14ac:dyDescent="0.2">
      <c r="A84">
        <v>9</v>
      </c>
      <c r="B84" t="s">
        <v>4958</v>
      </c>
      <c r="C84" t="s">
        <v>4959</v>
      </c>
      <c r="D84" t="s">
        <v>4960</v>
      </c>
      <c r="E84" t="s">
        <v>4961</v>
      </c>
    </row>
    <row r="85" spans="1:6" x14ac:dyDescent="0.2">
      <c r="A85">
        <v>10</v>
      </c>
      <c r="B85" t="s">
        <v>4962</v>
      </c>
      <c r="C85" t="s">
        <v>4963</v>
      </c>
      <c r="D85" t="s">
        <v>4964</v>
      </c>
      <c r="E85" t="s">
        <v>4965</v>
      </c>
    </row>
    <row r="86" spans="1:6" x14ac:dyDescent="0.2">
      <c r="A86">
        <v>11</v>
      </c>
      <c r="B86" t="s">
        <v>1785</v>
      </c>
      <c r="C86" t="s">
        <v>4966</v>
      </c>
      <c r="D86" t="s">
        <v>4967</v>
      </c>
      <c r="E86" t="s">
        <v>4968</v>
      </c>
    </row>
    <row r="87" spans="1:6" x14ac:dyDescent="0.2">
      <c r="A87">
        <v>12</v>
      </c>
      <c r="B87" t="s">
        <v>4969</v>
      </c>
      <c r="C87" t="s">
        <v>4970</v>
      </c>
      <c r="D87" t="s">
        <v>4971</v>
      </c>
      <c r="E87" t="s">
        <v>4972</v>
      </c>
    </row>
    <row r="89" spans="1:6" ht="15" x14ac:dyDescent="0.25">
      <c r="A89" s="751" t="s">
        <v>1532</v>
      </c>
      <c r="B89" s="752"/>
      <c r="C89" s="752"/>
      <c r="D89" s="752"/>
      <c r="E89" s="752"/>
      <c r="F89" s="752"/>
    </row>
    <row r="90" spans="1:6" x14ac:dyDescent="0.2">
      <c r="A90" t="s">
        <v>4973</v>
      </c>
    </row>
    <row r="91" spans="1:6" x14ac:dyDescent="0.2">
      <c r="A91" t="s">
        <v>4974</v>
      </c>
    </row>
    <row r="92" spans="1:6" x14ac:dyDescent="0.2">
      <c r="A92" t="s">
        <v>4975</v>
      </c>
    </row>
    <row r="93" spans="1:6" x14ac:dyDescent="0.2">
      <c r="A93" t="s">
        <v>4976</v>
      </c>
    </row>
    <row r="94" spans="1:6" x14ac:dyDescent="0.2">
      <c r="A94" t="s">
        <v>4977</v>
      </c>
    </row>
    <row r="95" spans="1:6" x14ac:dyDescent="0.2">
      <c r="A95" t="s">
        <v>4978</v>
      </c>
    </row>
    <row r="96" spans="1:6" x14ac:dyDescent="0.2">
      <c r="A96" t="s">
        <v>4979</v>
      </c>
    </row>
    <row r="97" spans="1:1" x14ac:dyDescent="0.2">
      <c r="A97" t="s">
        <v>4980</v>
      </c>
    </row>
    <row r="98" spans="1:1" x14ac:dyDescent="0.2">
      <c r="A98" t="s">
        <v>4981</v>
      </c>
    </row>
    <row r="99" spans="1:1" x14ac:dyDescent="0.2">
      <c r="A99" t="s">
        <v>4982</v>
      </c>
    </row>
    <row r="102" spans="1:1" ht="18" x14ac:dyDescent="0.25">
      <c r="A102" s="833" t="s">
        <v>6981</v>
      </c>
    </row>
    <row r="103" spans="1:1" x14ac:dyDescent="0.2">
      <c r="A103" s="734" t="s">
        <v>6982</v>
      </c>
    </row>
    <row r="105" spans="1:1" x14ac:dyDescent="0.2">
      <c r="A105" s="609" t="s">
        <v>6355</v>
      </c>
    </row>
    <row r="106" spans="1:1" x14ac:dyDescent="0.2">
      <c r="A106" t="s">
        <v>6983</v>
      </c>
    </row>
    <row r="107" spans="1:1" x14ac:dyDescent="0.2">
      <c r="A107" s="759" t="s">
        <v>6984</v>
      </c>
    </row>
    <row r="108" spans="1:1" x14ac:dyDescent="0.2">
      <c r="A108" t="s">
        <v>6985</v>
      </c>
    </row>
    <row r="110" spans="1:1" x14ac:dyDescent="0.2">
      <c r="A110" s="609" t="s">
        <v>6359</v>
      </c>
    </row>
    <row r="111" spans="1:1" x14ac:dyDescent="0.2">
      <c r="A111" t="s">
        <v>6986</v>
      </c>
    </row>
    <row r="112" spans="1:1" x14ac:dyDescent="0.2">
      <c r="A112" t="s">
        <v>6987</v>
      </c>
    </row>
    <row r="113" spans="1:1" x14ac:dyDescent="0.2">
      <c r="A113" t="s">
        <v>6988</v>
      </c>
    </row>
    <row r="114" spans="1:1" x14ac:dyDescent="0.2">
      <c r="A114" t="s">
        <v>6989</v>
      </c>
    </row>
    <row r="115" spans="1:1" x14ac:dyDescent="0.2">
      <c r="A115" t="s">
        <v>6990</v>
      </c>
    </row>
    <row r="117" spans="1:1" x14ac:dyDescent="0.2">
      <c r="A117" s="609" t="s">
        <v>6654</v>
      </c>
    </row>
    <row r="118" spans="1:1" x14ac:dyDescent="0.2">
      <c r="A118" t="s">
        <v>6991</v>
      </c>
    </row>
    <row r="119" spans="1:1" x14ac:dyDescent="0.2">
      <c r="A119" t="s">
        <v>6992</v>
      </c>
    </row>
    <row r="120" spans="1:1" x14ac:dyDescent="0.2">
      <c r="A120" t="s">
        <v>6993</v>
      </c>
    </row>
    <row r="122" spans="1:1" x14ac:dyDescent="0.2">
      <c r="A122" s="609" t="s">
        <v>6658</v>
      </c>
    </row>
    <row r="123" spans="1:1" x14ac:dyDescent="0.2">
      <c r="A123" t="s">
        <v>6994</v>
      </c>
    </row>
    <row r="124" spans="1:1" x14ac:dyDescent="0.2">
      <c r="A124" t="s">
        <v>6995</v>
      </c>
    </row>
    <row r="126" spans="1:1" x14ac:dyDescent="0.2">
      <c r="A126" s="609" t="s">
        <v>6661</v>
      </c>
    </row>
    <row r="127" spans="1:1" x14ac:dyDescent="0.2">
      <c r="A127" t="s">
        <v>6996</v>
      </c>
    </row>
    <row r="128" spans="1:1" x14ac:dyDescent="0.2">
      <c r="A128" t="s">
        <v>6997</v>
      </c>
    </row>
    <row r="129" spans="1:1" x14ac:dyDescent="0.2">
      <c r="A129" t="s">
        <v>6998</v>
      </c>
    </row>
    <row r="130" spans="1:1" x14ac:dyDescent="0.2">
      <c r="A130" t="s">
        <v>6999</v>
      </c>
    </row>
    <row r="132" spans="1:1" x14ac:dyDescent="0.2">
      <c r="A132" s="609" t="s">
        <v>6682</v>
      </c>
    </row>
    <row r="133" spans="1:1" x14ac:dyDescent="0.2">
      <c r="A133" t="s">
        <v>7000</v>
      </c>
    </row>
    <row r="137" spans="1:1" ht="18" x14ac:dyDescent="0.25">
      <c r="A137" s="838" t="s">
        <v>7402</v>
      </c>
    </row>
    <row r="138" spans="1:1" x14ac:dyDescent="0.2">
      <c r="A138" s="734" t="s">
        <v>7246</v>
      </c>
    </row>
    <row r="140" spans="1:1" x14ac:dyDescent="0.2">
      <c r="A140" s="839" t="s">
        <v>7403</v>
      </c>
    </row>
    <row r="141" spans="1:1" x14ac:dyDescent="0.2">
      <c r="A141" s="842" t="s">
        <v>7307</v>
      </c>
    </row>
    <row r="142" spans="1:1" x14ac:dyDescent="0.2">
      <c r="A142" t="s">
        <v>7404</v>
      </c>
    </row>
    <row r="143" spans="1:1" x14ac:dyDescent="0.2">
      <c r="A143" t="s">
        <v>7405</v>
      </c>
    </row>
    <row r="145" spans="1:1" x14ac:dyDescent="0.2">
      <c r="A145" s="839" t="s">
        <v>7406</v>
      </c>
    </row>
    <row r="146" spans="1:1" x14ac:dyDescent="0.2">
      <c r="A146" s="842" t="s">
        <v>7384</v>
      </c>
    </row>
    <row r="147" spans="1:1" x14ac:dyDescent="0.2">
      <c r="A147" t="s">
        <v>7407</v>
      </c>
    </row>
    <row r="149" spans="1:1" x14ac:dyDescent="0.2">
      <c r="A149" s="839" t="s">
        <v>7247</v>
      </c>
    </row>
    <row r="150" spans="1:1" x14ac:dyDescent="0.2">
      <c r="A150" t="s">
        <v>7408</v>
      </c>
    </row>
    <row r="152" spans="1:1" x14ac:dyDescent="0.2">
      <c r="A152" s="839" t="s">
        <v>7259</v>
      </c>
    </row>
    <row r="153" spans="1:1" x14ac:dyDescent="0.2">
      <c r="A153" t="s">
        <v>7409</v>
      </c>
    </row>
  </sheetData>
  <pageMargins left="0.7" right="0.7" top="0.75" bottom="0.75" header="0.3" footer="0.3"/>
  <legacyDrawing r:id="rId1"/>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7C475-13E5-404D-B171-E0477FA037D8}">
  <dimension ref="A1:L174"/>
  <sheetViews>
    <sheetView workbookViewId="0">
      <pane ySplit="3" topLeftCell="A35" activePane="bottomLeft" state="frozen"/>
      <selection pane="bottomLeft"/>
    </sheetView>
  </sheetViews>
  <sheetFormatPr defaultRowHeight="12.75" x14ac:dyDescent="0.2"/>
  <cols>
    <col min="1" max="1" width="137.140625" customWidth="1"/>
    <col min="2" max="2" width="28.5703125" customWidth="1"/>
    <col min="3" max="3" width="19" customWidth="1"/>
    <col min="4" max="4" width="34.28515625" customWidth="1"/>
    <col min="5" max="5" width="38.140625" customWidth="1"/>
    <col min="6" max="6" width="22.85546875" customWidth="1"/>
    <col min="7" max="9" width="15.28515625" customWidth="1"/>
  </cols>
  <sheetData>
    <row r="1" spans="1:7" ht="18" x14ac:dyDescent="0.25">
      <c r="A1" s="470" t="s">
        <v>4983</v>
      </c>
    </row>
    <row r="2" spans="1:7" x14ac:dyDescent="0.2">
      <c r="A2" s="734" t="s">
        <v>4984</v>
      </c>
    </row>
    <row r="4" spans="1:7" ht="15" x14ac:dyDescent="0.25">
      <c r="A4" s="735" t="s">
        <v>1443</v>
      </c>
      <c r="B4" s="736"/>
      <c r="C4" s="736"/>
      <c r="D4" s="736"/>
    </row>
    <row r="5" spans="1:7" x14ac:dyDescent="0.2">
      <c r="A5" t="s">
        <v>2143</v>
      </c>
      <c r="B5" s="564" t="s">
        <v>4985</v>
      </c>
      <c r="C5" t="s">
        <v>4986</v>
      </c>
    </row>
    <row r="6" spans="1:7" x14ac:dyDescent="0.2">
      <c r="A6" t="s">
        <v>1364</v>
      </c>
      <c r="B6" s="596">
        <v>0.25</v>
      </c>
      <c r="C6" t="s">
        <v>4987</v>
      </c>
    </row>
    <row r="7" spans="1:7" x14ac:dyDescent="0.2">
      <c r="A7" t="s">
        <v>2125</v>
      </c>
      <c r="B7" s="596">
        <v>1</v>
      </c>
      <c r="C7" t="s">
        <v>4988</v>
      </c>
    </row>
    <row r="8" spans="1:7" x14ac:dyDescent="0.2">
      <c r="A8" t="s">
        <v>1414</v>
      </c>
      <c r="B8" s="564" t="s">
        <v>4989</v>
      </c>
      <c r="C8" t="s">
        <v>4990</v>
      </c>
    </row>
    <row r="9" spans="1:7" x14ac:dyDescent="0.2">
      <c r="A9" t="s">
        <v>4991</v>
      </c>
      <c r="B9" s="737">
        <v>440</v>
      </c>
    </row>
    <row r="10" spans="1:7" x14ac:dyDescent="0.2">
      <c r="A10" t="s">
        <v>4992</v>
      </c>
      <c r="B10" s="564" t="s">
        <v>398</v>
      </c>
      <c r="C10" t="s">
        <v>4993</v>
      </c>
    </row>
    <row r="11" spans="1:7" x14ac:dyDescent="0.2">
      <c r="A11" t="s">
        <v>4994</v>
      </c>
      <c r="B11" s="564" t="s">
        <v>4995</v>
      </c>
      <c r="C11" t="s">
        <v>4996</v>
      </c>
    </row>
    <row r="12" spans="1:7" x14ac:dyDescent="0.2">
      <c r="A12" t="s">
        <v>3808</v>
      </c>
      <c r="B12" s="564" t="s">
        <v>4997</v>
      </c>
      <c r="C12" t="s">
        <v>4998</v>
      </c>
    </row>
    <row r="14" spans="1:7" ht="15" x14ac:dyDescent="0.25">
      <c r="A14" s="738" t="s">
        <v>4999</v>
      </c>
      <c r="B14" s="739"/>
      <c r="C14" s="739"/>
      <c r="D14" s="739"/>
      <c r="E14" s="739"/>
      <c r="F14" s="739"/>
      <c r="G14" s="739"/>
    </row>
    <row r="15" spans="1:7" x14ac:dyDescent="0.2">
      <c r="A15" s="484" t="s">
        <v>1188</v>
      </c>
      <c r="B15" s="480" t="s">
        <v>1243</v>
      </c>
      <c r="C15" s="484" t="s">
        <v>1244</v>
      </c>
      <c r="D15" s="484" t="s">
        <v>5000</v>
      </c>
      <c r="E15" s="484" t="s">
        <v>4189</v>
      </c>
      <c r="F15" s="484" t="s">
        <v>4191</v>
      </c>
      <c r="G15" s="484" t="s">
        <v>4488</v>
      </c>
    </row>
    <row r="16" spans="1:7" x14ac:dyDescent="0.2">
      <c r="A16" t="s">
        <v>4985</v>
      </c>
      <c r="B16">
        <v>68.900000000000006</v>
      </c>
      <c r="C16">
        <v>2700</v>
      </c>
      <c r="D16" s="662">
        <v>204431</v>
      </c>
      <c r="E16" t="s">
        <v>5001</v>
      </c>
      <c r="F16" t="s">
        <v>5002</v>
      </c>
      <c r="G16" t="s">
        <v>4497</v>
      </c>
    </row>
    <row r="17" spans="1:9" x14ac:dyDescent="0.2">
      <c r="A17" t="s">
        <v>5003</v>
      </c>
      <c r="B17">
        <v>110</v>
      </c>
      <c r="C17">
        <v>8530</v>
      </c>
      <c r="D17" s="662">
        <v>145325</v>
      </c>
      <c r="E17" t="s">
        <v>5004</v>
      </c>
      <c r="F17" t="s">
        <v>5005</v>
      </c>
      <c r="G17" t="s">
        <v>4492</v>
      </c>
    </row>
    <row r="18" spans="1:9" x14ac:dyDescent="0.2">
      <c r="A18" t="s">
        <v>5006</v>
      </c>
      <c r="B18">
        <v>200</v>
      </c>
      <c r="C18">
        <v>7850</v>
      </c>
      <c r="D18" s="662">
        <v>204267</v>
      </c>
      <c r="E18" t="s">
        <v>5007</v>
      </c>
      <c r="F18" t="s">
        <v>5008</v>
      </c>
      <c r="G18" t="s">
        <v>4497</v>
      </c>
    </row>
    <row r="19" spans="1:9" x14ac:dyDescent="0.2">
      <c r="A19" t="s">
        <v>4196</v>
      </c>
      <c r="B19">
        <v>193</v>
      </c>
      <c r="C19">
        <v>8000</v>
      </c>
      <c r="D19" s="662">
        <v>198770</v>
      </c>
      <c r="E19" t="s">
        <v>5009</v>
      </c>
      <c r="F19" t="s">
        <v>5008</v>
      </c>
      <c r="G19" t="s">
        <v>4501</v>
      </c>
    </row>
    <row r="20" spans="1:9" x14ac:dyDescent="0.2">
      <c r="A20" t="s">
        <v>5010</v>
      </c>
      <c r="B20">
        <v>110</v>
      </c>
      <c r="C20">
        <v>8860</v>
      </c>
      <c r="D20" s="662">
        <v>142593</v>
      </c>
      <c r="E20" t="s">
        <v>5011</v>
      </c>
      <c r="F20" t="s">
        <v>5012</v>
      </c>
      <c r="G20" t="s">
        <v>4509</v>
      </c>
    </row>
    <row r="21" spans="1:9" x14ac:dyDescent="0.2">
      <c r="A21" t="s">
        <v>5013</v>
      </c>
      <c r="B21" s="769">
        <f>D16</f>
        <v>204431</v>
      </c>
    </row>
    <row r="23" spans="1:9" ht="15" x14ac:dyDescent="0.25">
      <c r="A23" s="764" t="s">
        <v>5014</v>
      </c>
      <c r="B23" s="765"/>
      <c r="C23" s="765"/>
      <c r="D23" s="765"/>
      <c r="E23" s="765"/>
      <c r="F23" s="765"/>
      <c r="G23" s="765"/>
      <c r="H23" s="765"/>
      <c r="I23" s="765"/>
    </row>
    <row r="24" spans="1:9" x14ac:dyDescent="0.2">
      <c r="A24" s="713" t="s">
        <v>610</v>
      </c>
      <c r="B24" s="713" t="s">
        <v>785</v>
      </c>
      <c r="C24" s="713" t="s">
        <v>1272</v>
      </c>
      <c r="D24" s="713" t="s">
        <v>1368</v>
      </c>
      <c r="E24" s="713" t="s">
        <v>1369</v>
      </c>
      <c r="F24" s="713" t="s">
        <v>5015</v>
      </c>
      <c r="G24" s="713" t="s">
        <v>4519</v>
      </c>
      <c r="H24" s="713" t="s">
        <v>3993</v>
      </c>
      <c r="I24" s="713" t="s">
        <v>2125</v>
      </c>
    </row>
    <row r="25" spans="1:9" x14ac:dyDescent="0.2">
      <c r="A25">
        <v>1</v>
      </c>
      <c r="B25" t="s">
        <v>32</v>
      </c>
      <c r="C25">
        <v>72</v>
      </c>
      <c r="D25" s="481">
        <f>$B$9*2^((C25-69)/12)</f>
        <v>523.25113060119725</v>
      </c>
      <c r="E25" s="482">
        <f>SQRT($B$21*$B$6/D25)</f>
        <v>9.8829885715859156</v>
      </c>
      <c r="F25" s="482">
        <f>E25*0.2242</f>
        <v>2.2157660377495625</v>
      </c>
      <c r="G25" t="s">
        <v>4522</v>
      </c>
      <c r="H25" t="s">
        <v>5016</v>
      </c>
      <c r="I25" s="482">
        <f>$B$7</f>
        <v>1</v>
      </c>
    </row>
    <row r="26" spans="1:9" ht="15" x14ac:dyDescent="0.25">
      <c r="A26" s="764">
        <v>2</v>
      </c>
      <c r="B26" s="765" t="s">
        <v>1288</v>
      </c>
      <c r="C26" s="765">
        <v>73</v>
      </c>
      <c r="D26" s="765"/>
      <c r="E26" s="765"/>
      <c r="F26" s="765"/>
      <c r="G26" s="765" t="s">
        <v>4523</v>
      </c>
      <c r="H26" s="765" t="s">
        <v>5017</v>
      </c>
      <c r="I26" s="765"/>
    </row>
    <row r="27" spans="1:9" x14ac:dyDescent="0.2">
      <c r="A27" s="713">
        <v>3</v>
      </c>
      <c r="B27" s="713" t="s">
        <v>34</v>
      </c>
      <c r="C27" s="713">
        <v>74</v>
      </c>
      <c r="D27" s="713" t="s">
        <v>1368</v>
      </c>
      <c r="E27" s="713" t="s">
        <v>1369</v>
      </c>
      <c r="F27" s="713" t="s">
        <v>5015</v>
      </c>
      <c r="G27" s="713" t="s">
        <v>4522</v>
      </c>
      <c r="H27" s="713" t="s">
        <v>5016</v>
      </c>
      <c r="I27" s="713" t="s">
        <v>2125</v>
      </c>
    </row>
    <row r="28" spans="1:9" x14ac:dyDescent="0.2">
      <c r="A28">
        <v>4</v>
      </c>
      <c r="B28" t="s">
        <v>1289</v>
      </c>
      <c r="C28">
        <v>75</v>
      </c>
      <c r="D28" s="481">
        <f t="shared" ref="D28" si="0">$B$9*2^((C28-69)/12)</f>
        <v>622.25396744416184</v>
      </c>
      <c r="E28" s="482">
        <f t="shared" ref="E28" si="1">SQRT($B$21*$B$6/D28)</f>
        <v>9.0627404790898414</v>
      </c>
      <c r="F28" s="482">
        <f t="shared" ref="F28" si="2">E28*0.2242</f>
        <v>2.0318664154119426</v>
      </c>
      <c r="G28" t="s">
        <v>4523</v>
      </c>
      <c r="H28" t="s">
        <v>5017</v>
      </c>
      <c r="I28" s="482">
        <f t="shared" ref="I28" si="3">$B$7</f>
        <v>1</v>
      </c>
    </row>
    <row r="29" spans="1:9" ht="15" x14ac:dyDescent="0.25">
      <c r="A29" s="764">
        <v>5</v>
      </c>
      <c r="B29" s="765" t="s">
        <v>36</v>
      </c>
      <c r="C29" s="765">
        <v>76</v>
      </c>
      <c r="D29" s="765"/>
      <c r="E29" s="765"/>
      <c r="F29" s="765"/>
      <c r="G29" s="765" t="s">
        <v>4522</v>
      </c>
      <c r="H29" s="765" t="s">
        <v>5016</v>
      </c>
      <c r="I29" s="765"/>
    </row>
    <row r="30" spans="1:9" x14ac:dyDescent="0.2">
      <c r="A30" s="713">
        <v>6</v>
      </c>
      <c r="B30" s="713" t="s">
        <v>37</v>
      </c>
      <c r="C30" s="713">
        <v>77</v>
      </c>
      <c r="D30" s="713" t="s">
        <v>1368</v>
      </c>
      <c r="E30" s="713" t="s">
        <v>1369</v>
      </c>
      <c r="F30" s="713" t="s">
        <v>5015</v>
      </c>
      <c r="G30" s="713" t="s">
        <v>4522</v>
      </c>
      <c r="H30" s="713" t="s">
        <v>5016</v>
      </c>
      <c r="I30" s="713" t="s">
        <v>2125</v>
      </c>
    </row>
    <row r="31" spans="1:9" x14ac:dyDescent="0.2">
      <c r="A31">
        <v>7</v>
      </c>
      <c r="B31" t="s">
        <v>1290</v>
      </c>
      <c r="C31">
        <v>78</v>
      </c>
      <c r="D31" s="481">
        <f t="shared" ref="D31" si="4">$B$9*2^((C31-69)/12)</f>
        <v>739.9888454232688</v>
      </c>
      <c r="E31" s="482">
        <f t="shared" ref="E31" si="5">SQRT($B$21*$B$6/D31)</f>
        <v>8.3105696618400238</v>
      </c>
      <c r="F31" s="482">
        <f t="shared" ref="F31" si="6">E31*0.2242</f>
        <v>1.8632297181845334</v>
      </c>
      <c r="G31" t="s">
        <v>4523</v>
      </c>
      <c r="H31" t="s">
        <v>5017</v>
      </c>
      <c r="I31" s="482">
        <f t="shared" ref="I31" si="7">$B$7</f>
        <v>1</v>
      </c>
    </row>
    <row r="32" spans="1:9" ht="15" x14ac:dyDescent="0.25">
      <c r="A32" s="764">
        <v>8</v>
      </c>
      <c r="B32" s="765" t="s">
        <v>42</v>
      </c>
      <c r="C32" s="765">
        <v>79</v>
      </c>
      <c r="D32" s="765"/>
      <c r="E32" s="765"/>
      <c r="F32" s="765"/>
      <c r="G32" s="765" t="s">
        <v>4522</v>
      </c>
      <c r="H32" s="765" t="s">
        <v>5016</v>
      </c>
      <c r="I32" s="765"/>
    </row>
    <row r="33" spans="1:9" x14ac:dyDescent="0.2">
      <c r="A33" s="713">
        <v>9</v>
      </c>
      <c r="B33" s="713" t="s">
        <v>1291</v>
      </c>
      <c r="C33" s="713">
        <v>80</v>
      </c>
      <c r="D33" s="713" t="s">
        <v>1368</v>
      </c>
      <c r="E33" s="713" t="s">
        <v>1369</v>
      </c>
      <c r="F33" s="713" t="s">
        <v>5015</v>
      </c>
      <c r="G33" s="713" t="s">
        <v>4523</v>
      </c>
      <c r="H33" s="713" t="s">
        <v>5017</v>
      </c>
      <c r="I33" s="713" t="s">
        <v>2125</v>
      </c>
    </row>
    <row r="34" spans="1:9" x14ac:dyDescent="0.2">
      <c r="A34">
        <v>10</v>
      </c>
      <c r="B34" t="s">
        <v>47</v>
      </c>
      <c r="C34">
        <v>81</v>
      </c>
      <c r="D34" s="481">
        <f t="shared" ref="D34" si="8">$B$9*2^((C34-69)/12)</f>
        <v>880</v>
      </c>
      <c r="E34" s="482">
        <f t="shared" ref="E34" si="9">SQRT($B$21*$B$6/D34)</f>
        <v>7.6208259812413797</v>
      </c>
      <c r="F34" s="482">
        <f t="shared" ref="F34" si="10">E34*0.2242</f>
        <v>1.7085891849943173</v>
      </c>
      <c r="G34" t="s">
        <v>4522</v>
      </c>
      <c r="H34" t="s">
        <v>5016</v>
      </c>
      <c r="I34" s="482">
        <f t="shared" ref="I34" si="11">$B$7</f>
        <v>1</v>
      </c>
    </row>
    <row r="35" spans="1:9" ht="15" x14ac:dyDescent="0.25">
      <c r="A35" s="764">
        <v>11</v>
      </c>
      <c r="B35" s="765" t="s">
        <v>1292</v>
      </c>
      <c r="C35" s="765">
        <v>82</v>
      </c>
      <c r="D35" s="765"/>
      <c r="E35" s="765"/>
      <c r="F35" s="765"/>
      <c r="G35" s="765" t="s">
        <v>4523</v>
      </c>
      <c r="H35" s="765" t="s">
        <v>5017</v>
      </c>
      <c r="I35" s="765"/>
    </row>
    <row r="36" spans="1:9" x14ac:dyDescent="0.2">
      <c r="A36" s="713">
        <v>12</v>
      </c>
      <c r="B36" s="713" t="s">
        <v>54</v>
      </c>
      <c r="C36" s="713">
        <v>83</v>
      </c>
      <c r="D36" s="713" t="s">
        <v>1368</v>
      </c>
      <c r="E36" s="713" t="s">
        <v>1369</v>
      </c>
      <c r="F36" s="713" t="s">
        <v>5015</v>
      </c>
      <c r="G36" s="713" t="s">
        <v>4522</v>
      </c>
      <c r="H36" s="713" t="s">
        <v>5016</v>
      </c>
      <c r="I36" s="713" t="s">
        <v>2125</v>
      </c>
    </row>
    <row r="37" spans="1:9" x14ac:dyDescent="0.2">
      <c r="A37">
        <v>13</v>
      </c>
      <c r="B37" t="s">
        <v>55</v>
      </c>
      <c r="C37">
        <v>84</v>
      </c>
      <c r="D37" s="481">
        <f t="shared" ref="D37" si="12">$B$9*2^((C37-69)/12)</f>
        <v>1046.5022612023945</v>
      </c>
      <c r="E37" s="482">
        <f t="shared" ref="E37" si="13">SQRT($B$21*$B$6/D37)</f>
        <v>6.9883282373575515</v>
      </c>
      <c r="F37" s="482">
        <f t="shared" ref="F37" si="14">E37*0.2242</f>
        <v>1.5667831908155632</v>
      </c>
      <c r="G37" t="s">
        <v>4522</v>
      </c>
      <c r="H37" t="s">
        <v>5016</v>
      </c>
      <c r="I37" s="482">
        <f t="shared" ref="I37" si="15">$B$7</f>
        <v>1</v>
      </c>
    </row>
    <row r="38" spans="1:9" ht="15" x14ac:dyDescent="0.25">
      <c r="A38" s="764">
        <v>14</v>
      </c>
      <c r="B38" s="765" t="s">
        <v>1377</v>
      </c>
      <c r="C38" s="765">
        <v>85</v>
      </c>
      <c r="D38" s="765"/>
      <c r="E38" s="765"/>
      <c r="F38" s="765"/>
      <c r="G38" s="765" t="s">
        <v>4523</v>
      </c>
      <c r="H38" s="765" t="s">
        <v>5017</v>
      </c>
      <c r="I38" s="765"/>
    </row>
    <row r="39" spans="1:9" x14ac:dyDescent="0.2">
      <c r="A39" s="713">
        <v>15</v>
      </c>
      <c r="B39" s="713" t="s">
        <v>58</v>
      </c>
      <c r="C39" s="713">
        <v>86</v>
      </c>
      <c r="D39" s="713" t="s">
        <v>1368</v>
      </c>
      <c r="E39" s="713" t="s">
        <v>1369</v>
      </c>
      <c r="F39" s="713" t="s">
        <v>5015</v>
      </c>
      <c r="G39" s="713" t="s">
        <v>4522</v>
      </c>
      <c r="H39" s="713" t="s">
        <v>5016</v>
      </c>
      <c r="I39" s="713" t="s">
        <v>2125</v>
      </c>
    </row>
    <row r="40" spans="1:9" x14ac:dyDescent="0.2">
      <c r="A40">
        <v>16</v>
      </c>
      <c r="B40" t="s">
        <v>1378</v>
      </c>
      <c r="C40">
        <v>87</v>
      </c>
      <c r="D40" s="481">
        <f t="shared" ref="D40" si="16">$B$9*2^((C40-69)/12)</f>
        <v>1244.5079348883235</v>
      </c>
      <c r="E40" s="482">
        <f t="shared" ref="E40" si="17">SQRT($B$21*$B$6/D40)</f>
        <v>6.4083252488982483</v>
      </c>
      <c r="F40" s="482">
        <f t="shared" ref="F40" si="18">E40*0.2242</f>
        <v>1.4367465208029873</v>
      </c>
      <c r="G40" t="s">
        <v>4523</v>
      </c>
      <c r="H40" t="s">
        <v>5017</v>
      </c>
      <c r="I40" s="482">
        <f t="shared" ref="I40" si="19">$B$7</f>
        <v>1</v>
      </c>
    </row>
    <row r="41" spans="1:9" ht="15" x14ac:dyDescent="0.25">
      <c r="A41" s="764">
        <v>17</v>
      </c>
      <c r="B41" s="765" t="s">
        <v>248</v>
      </c>
      <c r="C41" s="765">
        <v>88</v>
      </c>
      <c r="D41" s="765"/>
      <c r="E41" s="765"/>
      <c r="F41" s="765"/>
      <c r="G41" s="765" t="s">
        <v>4522</v>
      </c>
      <c r="H41" s="765" t="s">
        <v>5016</v>
      </c>
      <c r="I41" s="765"/>
    </row>
    <row r="42" spans="1:9" x14ac:dyDescent="0.2">
      <c r="A42" s="713">
        <v>18</v>
      </c>
      <c r="B42" s="713" t="s">
        <v>249</v>
      </c>
      <c r="C42" s="713">
        <v>89</v>
      </c>
      <c r="D42" s="713" t="s">
        <v>1368</v>
      </c>
      <c r="E42" s="713" t="s">
        <v>1369</v>
      </c>
      <c r="F42" s="713" t="s">
        <v>5015</v>
      </c>
      <c r="G42" s="713" t="s">
        <v>4522</v>
      </c>
      <c r="H42" s="713" t="s">
        <v>5016</v>
      </c>
      <c r="I42" s="713" t="s">
        <v>2125</v>
      </c>
    </row>
    <row r="43" spans="1:9" x14ac:dyDescent="0.2">
      <c r="A43">
        <v>19</v>
      </c>
      <c r="B43" t="s">
        <v>1379</v>
      </c>
      <c r="C43">
        <v>90</v>
      </c>
      <c r="D43" s="481">
        <f t="shared" ref="D43" si="20">$B$9*2^((C43-69)/12)</f>
        <v>1479.9776908465376</v>
      </c>
      <c r="E43" s="482">
        <f t="shared" ref="E43" si="21">SQRT($B$21*$B$6/D43)</f>
        <v>5.8764601634102744</v>
      </c>
      <c r="F43" s="482">
        <f t="shared" ref="F43" si="22">E43*0.2242</f>
        <v>1.3175023686365837</v>
      </c>
      <c r="G43" t="s">
        <v>4523</v>
      </c>
      <c r="H43" t="s">
        <v>5017</v>
      </c>
      <c r="I43" s="482">
        <f t="shared" ref="I43" si="23">$B$7</f>
        <v>1</v>
      </c>
    </row>
    <row r="44" spans="1:9" ht="15" x14ac:dyDescent="0.25">
      <c r="A44" s="764">
        <v>20</v>
      </c>
      <c r="B44" s="765" t="s">
        <v>257</v>
      </c>
      <c r="C44" s="765">
        <v>91</v>
      </c>
      <c r="D44" s="765"/>
      <c r="E44" s="765"/>
      <c r="F44" s="765"/>
      <c r="G44" s="765" t="s">
        <v>4522</v>
      </c>
      <c r="H44" s="765" t="s">
        <v>5016</v>
      </c>
      <c r="I44" s="765"/>
    </row>
    <row r="45" spans="1:9" x14ac:dyDescent="0.2">
      <c r="A45" s="713">
        <v>21</v>
      </c>
      <c r="B45" s="713" t="s">
        <v>1380</v>
      </c>
      <c r="C45" s="713">
        <v>92</v>
      </c>
      <c r="D45" s="713" t="s">
        <v>1368</v>
      </c>
      <c r="E45" s="713" t="s">
        <v>1369</v>
      </c>
      <c r="F45" s="713" t="s">
        <v>5015</v>
      </c>
      <c r="G45" s="713" t="s">
        <v>4523</v>
      </c>
      <c r="H45" s="713" t="s">
        <v>5017</v>
      </c>
      <c r="I45" s="713" t="s">
        <v>2125</v>
      </c>
    </row>
    <row r="46" spans="1:9" x14ac:dyDescent="0.2">
      <c r="A46">
        <v>22</v>
      </c>
      <c r="B46" t="s">
        <v>261</v>
      </c>
      <c r="C46">
        <v>93</v>
      </c>
      <c r="D46" s="481">
        <f t="shared" ref="D46" si="24">$B$9*2^((C46-69)/12)</f>
        <v>1760</v>
      </c>
      <c r="E46" s="482">
        <f t="shared" ref="E46" si="25">SQRT($B$21*$B$6/D46)</f>
        <v>5.3887377295784047</v>
      </c>
      <c r="F46" s="482">
        <f t="shared" ref="F46" si="26">E46*0.2242</f>
        <v>1.2081549989714784</v>
      </c>
      <c r="G46" t="s">
        <v>4522</v>
      </c>
      <c r="H46" t="s">
        <v>5016</v>
      </c>
      <c r="I46" s="482">
        <f t="shared" ref="I46" si="27">$B$7</f>
        <v>1</v>
      </c>
    </row>
    <row r="47" spans="1:9" ht="15" x14ac:dyDescent="0.25">
      <c r="A47" s="764">
        <v>23</v>
      </c>
      <c r="B47" s="765" t="s">
        <v>1381</v>
      </c>
      <c r="C47" s="765">
        <v>94</v>
      </c>
      <c r="D47" s="765"/>
      <c r="E47" s="765"/>
      <c r="F47" s="765"/>
      <c r="G47" s="765" t="s">
        <v>4523</v>
      </c>
      <c r="H47" s="765" t="s">
        <v>5017</v>
      </c>
      <c r="I47" s="765"/>
    </row>
    <row r="48" spans="1:9" x14ac:dyDescent="0.2">
      <c r="A48" s="713">
        <v>24</v>
      </c>
      <c r="B48" s="713" t="s">
        <v>266</v>
      </c>
      <c r="C48" s="713">
        <v>95</v>
      </c>
      <c r="D48" s="713" t="s">
        <v>1368</v>
      </c>
      <c r="E48" s="713" t="s">
        <v>1369</v>
      </c>
      <c r="F48" s="713" t="s">
        <v>5015</v>
      </c>
      <c r="G48" s="713" t="s">
        <v>4522</v>
      </c>
      <c r="H48" s="713" t="s">
        <v>5016</v>
      </c>
      <c r="I48" s="713" t="s">
        <v>2125</v>
      </c>
    </row>
    <row r="49" spans="1:9" x14ac:dyDescent="0.2">
      <c r="A49">
        <v>25</v>
      </c>
      <c r="B49" t="s">
        <v>267</v>
      </c>
      <c r="C49">
        <v>96</v>
      </c>
      <c r="D49" s="481">
        <f t="shared" ref="D49" si="28">$B$9*2^((C49-69)/12)</f>
        <v>2093.004522404789</v>
      </c>
      <c r="E49" s="482">
        <f t="shared" ref="E49" si="29">SQRT($B$21*$B$6/D49)</f>
        <v>4.9414942857929578</v>
      </c>
      <c r="F49" s="482">
        <f t="shared" ref="F49" si="30">E49*0.2242</f>
        <v>1.1078830188747812</v>
      </c>
      <c r="G49" t="s">
        <v>4522</v>
      </c>
      <c r="H49" t="s">
        <v>5016</v>
      </c>
      <c r="I49" s="482">
        <f t="shared" ref="I49" si="31">$B$7</f>
        <v>1</v>
      </c>
    </row>
    <row r="51" spans="1:9" ht="15" x14ac:dyDescent="0.25">
      <c r="A51" s="735" t="s">
        <v>1543</v>
      </c>
      <c r="B51" s="736"/>
      <c r="C51" s="736"/>
      <c r="D51" s="736"/>
      <c r="E51" s="736"/>
      <c r="F51" s="736"/>
    </row>
    <row r="52" spans="1:9" x14ac:dyDescent="0.2">
      <c r="A52" s="475" t="s">
        <v>610</v>
      </c>
      <c r="B52" s="475" t="s">
        <v>1545</v>
      </c>
      <c r="C52" s="475" t="s">
        <v>1546</v>
      </c>
      <c r="D52" s="475" t="s">
        <v>4057</v>
      </c>
      <c r="E52" s="475" t="s">
        <v>1548</v>
      </c>
      <c r="F52" s="475" t="s">
        <v>1549</v>
      </c>
    </row>
    <row r="53" spans="1:9" x14ac:dyDescent="0.2">
      <c r="A53">
        <v>1</v>
      </c>
      <c r="B53" t="s">
        <v>5018</v>
      </c>
      <c r="C53" t="s">
        <v>5019</v>
      </c>
      <c r="D53" t="s">
        <v>5020</v>
      </c>
      <c r="E53" t="s">
        <v>5021</v>
      </c>
      <c r="F53" t="s">
        <v>4705</v>
      </c>
    </row>
    <row r="54" spans="1:9" x14ac:dyDescent="0.2">
      <c r="A54">
        <v>2</v>
      </c>
      <c r="B54" t="s">
        <v>5022</v>
      </c>
      <c r="C54" t="s">
        <v>5023</v>
      </c>
      <c r="D54" t="s">
        <v>5024</v>
      </c>
      <c r="E54" t="s">
        <v>5025</v>
      </c>
      <c r="F54" t="s">
        <v>4247</v>
      </c>
    </row>
    <row r="55" spans="1:9" x14ac:dyDescent="0.2">
      <c r="A55">
        <v>3</v>
      </c>
      <c r="B55" t="s">
        <v>5026</v>
      </c>
      <c r="C55" t="s">
        <v>5027</v>
      </c>
      <c r="D55" t="s">
        <v>5028</v>
      </c>
      <c r="E55" t="s">
        <v>5029</v>
      </c>
      <c r="F55" t="s">
        <v>4263</v>
      </c>
    </row>
    <row r="56" spans="1:9" x14ac:dyDescent="0.2">
      <c r="A56">
        <v>4</v>
      </c>
      <c r="B56" t="s">
        <v>5030</v>
      </c>
      <c r="C56">
        <v>50</v>
      </c>
      <c r="D56" t="s">
        <v>5031</v>
      </c>
      <c r="E56" t="s">
        <v>5032</v>
      </c>
      <c r="F56" t="s">
        <v>4263</v>
      </c>
    </row>
    <row r="57" spans="1:9" x14ac:dyDescent="0.2">
      <c r="A57">
        <v>5</v>
      </c>
      <c r="B57" t="s">
        <v>5033</v>
      </c>
      <c r="C57">
        <v>2</v>
      </c>
      <c r="D57" t="s">
        <v>5034</v>
      </c>
      <c r="E57" t="s">
        <v>5035</v>
      </c>
      <c r="F57" t="s">
        <v>4263</v>
      </c>
    </row>
    <row r="58" spans="1:9" x14ac:dyDescent="0.2">
      <c r="A58">
        <v>6</v>
      </c>
      <c r="B58" t="s">
        <v>5036</v>
      </c>
      <c r="C58">
        <v>1</v>
      </c>
      <c r="D58" t="s">
        <v>5037</v>
      </c>
      <c r="E58" t="s">
        <v>5038</v>
      </c>
      <c r="F58" t="s">
        <v>5039</v>
      </c>
    </row>
    <row r="59" spans="1:9" x14ac:dyDescent="0.2">
      <c r="A59">
        <v>7</v>
      </c>
      <c r="B59" t="s">
        <v>5040</v>
      </c>
      <c r="C59">
        <v>1</v>
      </c>
      <c r="D59" t="s">
        <v>5041</v>
      </c>
      <c r="E59" t="s">
        <v>5042</v>
      </c>
      <c r="F59" t="s">
        <v>4081</v>
      </c>
    </row>
    <row r="60" spans="1:9" x14ac:dyDescent="0.2">
      <c r="A60">
        <v>8</v>
      </c>
      <c r="B60" t="s">
        <v>5043</v>
      </c>
      <c r="C60">
        <v>1</v>
      </c>
      <c r="D60" t="s">
        <v>5044</v>
      </c>
      <c r="E60" t="s">
        <v>5045</v>
      </c>
      <c r="F60" t="s">
        <v>4093</v>
      </c>
    </row>
    <row r="61" spans="1:9" x14ac:dyDescent="0.2">
      <c r="A61">
        <v>9</v>
      </c>
      <c r="B61" t="s">
        <v>2955</v>
      </c>
      <c r="C61">
        <v>4</v>
      </c>
      <c r="D61" t="s">
        <v>5046</v>
      </c>
      <c r="E61" t="s">
        <v>5047</v>
      </c>
      <c r="F61" t="s">
        <v>4919</v>
      </c>
    </row>
    <row r="62" spans="1:9" x14ac:dyDescent="0.2">
      <c r="B62" s="472" t="s">
        <v>4098</v>
      </c>
      <c r="F62" s="472" t="s">
        <v>5048</v>
      </c>
    </row>
    <row r="64" spans="1:9" ht="15" x14ac:dyDescent="0.25">
      <c r="A64" s="747" t="s">
        <v>1849</v>
      </c>
      <c r="B64" s="748"/>
      <c r="C64" s="748"/>
      <c r="D64" s="748"/>
      <c r="E64" s="748"/>
      <c r="F64" s="748"/>
    </row>
    <row r="65" spans="1:6" x14ac:dyDescent="0.2">
      <c r="A65" s="768" t="s">
        <v>610</v>
      </c>
      <c r="B65" s="768" t="s">
        <v>1623</v>
      </c>
      <c r="C65" s="768" t="s">
        <v>1624</v>
      </c>
      <c r="D65" s="768" t="s">
        <v>4100</v>
      </c>
      <c r="E65" s="768" t="s">
        <v>4101</v>
      </c>
    </row>
    <row r="66" spans="1:6" x14ac:dyDescent="0.2">
      <c r="A66">
        <v>1</v>
      </c>
      <c r="B66" t="s">
        <v>5049</v>
      </c>
      <c r="C66" t="s">
        <v>5050</v>
      </c>
      <c r="D66" t="s">
        <v>5051</v>
      </c>
      <c r="E66" t="s">
        <v>5052</v>
      </c>
    </row>
    <row r="67" spans="1:6" x14ac:dyDescent="0.2">
      <c r="A67">
        <v>2</v>
      </c>
      <c r="B67" t="s">
        <v>5049</v>
      </c>
      <c r="C67" t="s">
        <v>5053</v>
      </c>
      <c r="D67" t="s">
        <v>5054</v>
      </c>
      <c r="E67" t="s">
        <v>5055</v>
      </c>
    </row>
    <row r="68" spans="1:6" x14ac:dyDescent="0.2">
      <c r="A68">
        <v>3</v>
      </c>
      <c r="B68" t="s">
        <v>2915</v>
      </c>
      <c r="C68" t="s">
        <v>5056</v>
      </c>
      <c r="D68" t="s">
        <v>5057</v>
      </c>
      <c r="E68" t="s">
        <v>5058</v>
      </c>
    </row>
    <row r="69" spans="1:6" x14ac:dyDescent="0.2">
      <c r="A69">
        <v>4</v>
      </c>
      <c r="B69" t="s">
        <v>5059</v>
      </c>
      <c r="C69" t="s">
        <v>5060</v>
      </c>
      <c r="D69" t="s">
        <v>5061</v>
      </c>
      <c r="E69" t="s">
        <v>5062</v>
      </c>
    </row>
    <row r="70" spans="1:6" x14ac:dyDescent="0.2">
      <c r="A70">
        <v>5</v>
      </c>
      <c r="B70" t="s">
        <v>4146</v>
      </c>
      <c r="C70" t="s">
        <v>5063</v>
      </c>
      <c r="D70" t="s">
        <v>5064</v>
      </c>
      <c r="E70" t="s">
        <v>5065</v>
      </c>
    </row>
    <row r="71" spans="1:6" x14ac:dyDescent="0.2">
      <c r="A71">
        <v>6</v>
      </c>
      <c r="B71" t="s">
        <v>4601</v>
      </c>
      <c r="C71" t="s">
        <v>5066</v>
      </c>
      <c r="D71" t="s">
        <v>5067</v>
      </c>
      <c r="E71" t="s">
        <v>5068</v>
      </c>
    </row>
    <row r="72" spans="1:6" x14ac:dyDescent="0.2">
      <c r="A72">
        <v>7</v>
      </c>
      <c r="B72" t="s">
        <v>4601</v>
      </c>
      <c r="C72" t="s">
        <v>5069</v>
      </c>
      <c r="D72" t="s">
        <v>3496</v>
      </c>
      <c r="E72" t="s">
        <v>5070</v>
      </c>
    </row>
    <row r="73" spans="1:6" x14ac:dyDescent="0.2">
      <c r="A73">
        <v>8</v>
      </c>
      <c r="B73" t="s">
        <v>4601</v>
      </c>
      <c r="C73" t="s">
        <v>5071</v>
      </c>
      <c r="D73" t="s">
        <v>5072</v>
      </c>
      <c r="E73" t="s">
        <v>5073</v>
      </c>
    </row>
    <row r="74" spans="1:6" x14ac:dyDescent="0.2">
      <c r="A74">
        <v>9</v>
      </c>
      <c r="B74" t="s">
        <v>1734</v>
      </c>
      <c r="C74" t="s">
        <v>5074</v>
      </c>
      <c r="D74" t="s">
        <v>5075</v>
      </c>
      <c r="E74" t="s">
        <v>5076</v>
      </c>
    </row>
    <row r="75" spans="1:6" x14ac:dyDescent="0.2">
      <c r="A75">
        <v>10</v>
      </c>
      <c r="B75" t="s">
        <v>1734</v>
      </c>
      <c r="C75" t="s">
        <v>5077</v>
      </c>
      <c r="D75" t="s">
        <v>5078</v>
      </c>
      <c r="E75" t="s">
        <v>5079</v>
      </c>
    </row>
    <row r="76" spans="1:6" x14ac:dyDescent="0.2">
      <c r="A76">
        <v>11</v>
      </c>
      <c r="B76" t="s">
        <v>4969</v>
      </c>
      <c r="C76" t="s">
        <v>5080</v>
      </c>
      <c r="D76" t="s">
        <v>5081</v>
      </c>
      <c r="E76" t="s">
        <v>5082</v>
      </c>
    </row>
    <row r="77" spans="1:6" x14ac:dyDescent="0.2">
      <c r="A77">
        <v>12</v>
      </c>
      <c r="B77" t="s">
        <v>4969</v>
      </c>
      <c r="C77" t="s">
        <v>5083</v>
      </c>
      <c r="D77" t="s">
        <v>5084</v>
      </c>
      <c r="E77" t="s">
        <v>5085</v>
      </c>
    </row>
    <row r="79" spans="1:6" ht="15" x14ac:dyDescent="0.25">
      <c r="A79" s="751" t="s">
        <v>1532</v>
      </c>
      <c r="B79" s="752"/>
      <c r="C79" s="752"/>
      <c r="D79" s="752"/>
      <c r="E79" s="752"/>
      <c r="F79" s="752"/>
    </row>
    <row r="80" spans="1:6" x14ac:dyDescent="0.2">
      <c r="A80" t="s">
        <v>5086</v>
      </c>
    </row>
    <row r="81" spans="1:12" x14ac:dyDescent="0.2">
      <c r="A81" t="s">
        <v>5087</v>
      </c>
    </row>
    <row r="82" spans="1:12" x14ac:dyDescent="0.2">
      <c r="A82" t="s">
        <v>5088</v>
      </c>
    </row>
    <row r="83" spans="1:12" x14ac:dyDescent="0.2">
      <c r="A83" t="s">
        <v>5089</v>
      </c>
    </row>
    <row r="84" spans="1:12" x14ac:dyDescent="0.2">
      <c r="A84" t="s">
        <v>5090</v>
      </c>
    </row>
    <row r="85" spans="1:12" x14ac:dyDescent="0.2">
      <c r="A85" t="s">
        <v>5091</v>
      </c>
    </row>
    <row r="86" spans="1:12" x14ac:dyDescent="0.2">
      <c r="A86" t="s">
        <v>5092</v>
      </c>
    </row>
    <row r="87" spans="1:12" x14ac:dyDescent="0.2">
      <c r="A87" t="s">
        <v>5093</v>
      </c>
    </row>
    <row r="88" spans="1:12" x14ac:dyDescent="0.2">
      <c r="A88" t="s">
        <v>5094</v>
      </c>
    </row>
    <row r="89" spans="1:12" x14ac:dyDescent="0.2">
      <c r="A89" t="s">
        <v>5095</v>
      </c>
    </row>
    <row r="91" spans="1:12" ht="15" x14ac:dyDescent="0.25">
      <c r="A91" s="743" t="s">
        <v>5099</v>
      </c>
      <c r="B91" s="744"/>
      <c r="C91" s="744"/>
      <c r="D91" s="744"/>
      <c r="E91" s="744"/>
      <c r="F91" s="744"/>
      <c r="G91" s="744"/>
      <c r="H91" s="744"/>
      <c r="I91" s="744"/>
    </row>
    <row r="92" spans="1:12" x14ac:dyDescent="0.2">
      <c r="A92" s="734" t="s">
        <v>5100</v>
      </c>
    </row>
    <row r="93" spans="1:12" x14ac:dyDescent="0.2">
      <c r="A93" s="486" t="s">
        <v>610</v>
      </c>
      <c r="B93" s="486" t="s">
        <v>785</v>
      </c>
      <c r="C93" s="486" t="s">
        <v>1272</v>
      </c>
      <c r="D93" s="486" t="s">
        <v>1368</v>
      </c>
      <c r="E93" s="486" t="s">
        <v>1369</v>
      </c>
      <c r="F93" s="486" t="s">
        <v>5015</v>
      </c>
      <c r="G93" s="486" t="s">
        <v>2125</v>
      </c>
      <c r="H93" s="486" t="s">
        <v>4519</v>
      </c>
      <c r="I93" s="486" t="s">
        <v>5101</v>
      </c>
    </row>
    <row r="94" spans="1:12" x14ac:dyDescent="0.2">
      <c r="A94">
        <v>1</v>
      </c>
      <c r="B94" t="s">
        <v>32</v>
      </c>
      <c r="C94">
        <v>72</v>
      </c>
      <c r="D94" s="481">
        <f>$B$9*2^((C94-69)/12)</f>
        <v>523.25113060119725</v>
      </c>
      <c r="E94" s="482">
        <f>SQRT($B$21*$B$6/D94)</f>
        <v>9.8829885715859156</v>
      </c>
      <c r="F94" s="482">
        <f>E94*0.2242</f>
        <v>2.2157660377495625</v>
      </c>
      <c r="G94" s="482">
        <f>$B$7</f>
        <v>1</v>
      </c>
      <c r="H94" t="s">
        <v>4522</v>
      </c>
      <c r="I94" t="str">
        <f>ROUND(E94+0.5,1)&amp;" in"</f>
        <v>10.4 in</v>
      </c>
    </row>
    <row r="95" spans="1:12" x14ac:dyDescent="0.2">
      <c r="A95">
        <v>2</v>
      </c>
      <c r="B95" t="s">
        <v>34</v>
      </c>
      <c r="C95">
        <v>74</v>
      </c>
      <c r="D95" s="481">
        <f t="shared" ref="D95:D103" si="32">$B$9*2^((C95-69)/12)</f>
        <v>587.32953583481515</v>
      </c>
      <c r="E95" s="482">
        <f t="shared" ref="E95:E103" si="33">SQRT($B$21*$B$6/D95)</f>
        <v>9.3282990452466876</v>
      </c>
      <c r="F95" s="482">
        <f t="shared" ref="F95:F103" si="34">E95*0.2242</f>
        <v>2.0914046459443076</v>
      </c>
      <c r="G95" s="482">
        <f t="shared" ref="G95:G103" si="35">$B$7</f>
        <v>1</v>
      </c>
      <c r="H95" t="s">
        <v>4522</v>
      </c>
      <c r="I95" t="str">
        <f t="shared" ref="I95:I103" si="36">ROUND(E95+0.5,1)&amp;" in"</f>
        <v>9.8 in</v>
      </c>
      <c r="J95" s="744"/>
      <c r="K95" s="744"/>
      <c r="L95" s="744"/>
    </row>
    <row r="96" spans="1:12" x14ac:dyDescent="0.2">
      <c r="A96">
        <v>3</v>
      </c>
      <c r="B96" t="s">
        <v>36</v>
      </c>
      <c r="C96">
        <v>76</v>
      </c>
      <c r="D96" s="481">
        <f t="shared" si="32"/>
        <v>659.25511382573984</v>
      </c>
      <c r="E96" s="482">
        <f t="shared" si="33"/>
        <v>8.8047418498215144</v>
      </c>
      <c r="F96" s="482">
        <f t="shared" si="34"/>
        <v>1.9740231227299836</v>
      </c>
      <c r="G96" s="482">
        <f t="shared" si="35"/>
        <v>1</v>
      </c>
      <c r="H96" t="s">
        <v>4522</v>
      </c>
      <c r="I96" t="str">
        <f t="shared" si="36"/>
        <v>9.3 in</v>
      </c>
    </row>
    <row r="97" spans="1:12" x14ac:dyDescent="0.2">
      <c r="A97">
        <v>4</v>
      </c>
      <c r="B97" t="s">
        <v>42</v>
      </c>
      <c r="C97">
        <v>79</v>
      </c>
      <c r="D97" s="481">
        <f t="shared" si="32"/>
        <v>783.99087196349853</v>
      </c>
      <c r="E97" s="482">
        <f t="shared" si="33"/>
        <v>8.0739838756597049</v>
      </c>
      <c r="F97" s="482">
        <f t="shared" si="34"/>
        <v>1.8101871849229059</v>
      </c>
      <c r="G97" s="482">
        <f t="shared" si="35"/>
        <v>1</v>
      </c>
      <c r="H97" t="s">
        <v>4522</v>
      </c>
      <c r="I97" t="str">
        <f t="shared" si="36"/>
        <v>8.6 in</v>
      </c>
      <c r="J97" s="486" t="s">
        <v>2125</v>
      </c>
      <c r="K97" s="486" t="s">
        <v>4519</v>
      </c>
      <c r="L97" s="486" t="s">
        <v>5101</v>
      </c>
    </row>
    <row r="98" spans="1:12" x14ac:dyDescent="0.2">
      <c r="A98">
        <v>5</v>
      </c>
      <c r="B98" t="s">
        <v>47</v>
      </c>
      <c r="C98">
        <v>81</v>
      </c>
      <c r="D98" s="481">
        <f t="shared" si="32"/>
        <v>880</v>
      </c>
      <c r="E98" s="482">
        <f t="shared" si="33"/>
        <v>7.6208259812413797</v>
      </c>
      <c r="F98" s="482">
        <f t="shared" si="34"/>
        <v>1.7085891849943173</v>
      </c>
      <c r="G98" s="482">
        <f t="shared" si="35"/>
        <v>1</v>
      </c>
      <c r="H98" t="s">
        <v>4522</v>
      </c>
      <c r="I98" t="str">
        <f t="shared" si="36"/>
        <v>8.1 in</v>
      </c>
      <c r="J98" s="482">
        <f>$B$6</f>
        <v>0.25</v>
      </c>
      <c r="K98" t="s">
        <v>4522</v>
      </c>
      <c r="L98" t="e">
        <f>TEXT(H98+0.5,"0.0")&amp;" in"</f>
        <v>#VALUE!</v>
      </c>
    </row>
    <row r="99" spans="1:12" x14ac:dyDescent="0.2">
      <c r="A99">
        <v>6</v>
      </c>
      <c r="B99" t="s">
        <v>55</v>
      </c>
      <c r="C99">
        <v>84</v>
      </c>
      <c r="D99" s="481">
        <f t="shared" si="32"/>
        <v>1046.5022612023945</v>
      </c>
      <c r="E99" s="482">
        <f t="shared" si="33"/>
        <v>6.9883282373575515</v>
      </c>
      <c r="F99" s="482">
        <f t="shared" si="34"/>
        <v>1.5667831908155632</v>
      </c>
      <c r="G99" s="482">
        <f t="shared" si="35"/>
        <v>1</v>
      </c>
      <c r="H99" t="s">
        <v>4522</v>
      </c>
      <c r="I99" t="str">
        <f t="shared" si="36"/>
        <v>7.5 in</v>
      </c>
    </row>
    <row r="100" spans="1:12" x14ac:dyDescent="0.2">
      <c r="A100">
        <v>7</v>
      </c>
      <c r="B100" t="s">
        <v>58</v>
      </c>
      <c r="C100">
        <v>86</v>
      </c>
      <c r="D100" s="481">
        <f t="shared" si="32"/>
        <v>1174.6590716696303</v>
      </c>
      <c r="E100" s="482">
        <f t="shared" si="33"/>
        <v>6.5961035118299289</v>
      </c>
      <c r="F100" s="482">
        <f t="shared" si="34"/>
        <v>1.4788464073522702</v>
      </c>
      <c r="G100" s="482">
        <f t="shared" si="35"/>
        <v>1</v>
      </c>
      <c r="H100" t="s">
        <v>4522</v>
      </c>
      <c r="I100" t="str">
        <f t="shared" si="36"/>
        <v>7.1 in</v>
      </c>
    </row>
    <row r="101" spans="1:12" x14ac:dyDescent="0.2">
      <c r="A101">
        <v>8</v>
      </c>
      <c r="B101" t="s">
        <v>248</v>
      </c>
      <c r="C101">
        <v>88</v>
      </c>
      <c r="D101" s="481">
        <f t="shared" si="32"/>
        <v>1318.5102276514795</v>
      </c>
      <c r="E101" s="482">
        <f t="shared" si="33"/>
        <v>6.2258926686057796</v>
      </c>
      <c r="F101" s="482">
        <f t="shared" si="34"/>
        <v>1.3958451363014159</v>
      </c>
      <c r="G101" s="482">
        <f t="shared" si="35"/>
        <v>1</v>
      </c>
      <c r="H101" t="s">
        <v>4522</v>
      </c>
      <c r="I101" t="str">
        <f t="shared" si="36"/>
        <v>6.7 in</v>
      </c>
    </row>
    <row r="102" spans="1:12" x14ac:dyDescent="0.2">
      <c r="A102">
        <v>9</v>
      </c>
      <c r="B102" t="s">
        <v>257</v>
      </c>
      <c r="C102">
        <v>91</v>
      </c>
      <c r="D102" s="481">
        <f t="shared" si="32"/>
        <v>1567.9817439269968</v>
      </c>
      <c r="E102" s="482">
        <f t="shared" si="33"/>
        <v>5.7091687496698205</v>
      </c>
      <c r="F102" s="482">
        <f t="shared" si="34"/>
        <v>1.2799956336759739</v>
      </c>
      <c r="G102" s="482">
        <f t="shared" si="35"/>
        <v>1</v>
      </c>
      <c r="H102" t="s">
        <v>4522</v>
      </c>
      <c r="I102" t="str">
        <f t="shared" si="36"/>
        <v>6.2 in</v>
      </c>
    </row>
    <row r="103" spans="1:12" x14ac:dyDescent="0.2">
      <c r="A103">
        <v>10</v>
      </c>
      <c r="B103" t="s">
        <v>261</v>
      </c>
      <c r="C103">
        <v>93</v>
      </c>
      <c r="D103" s="481">
        <f t="shared" si="32"/>
        <v>1760</v>
      </c>
      <c r="E103" s="482">
        <f t="shared" si="33"/>
        <v>5.3887377295784047</v>
      </c>
      <c r="F103" s="482">
        <f t="shared" si="34"/>
        <v>1.2081549989714784</v>
      </c>
      <c r="G103" s="482">
        <f t="shared" si="35"/>
        <v>1</v>
      </c>
      <c r="H103" t="s">
        <v>4522</v>
      </c>
      <c r="I103" t="str">
        <f t="shared" si="36"/>
        <v>5.9 in</v>
      </c>
    </row>
    <row r="104" spans="1:12" x14ac:dyDescent="0.2">
      <c r="D104">
        <v>7</v>
      </c>
      <c r="E104" t="s">
        <v>58</v>
      </c>
      <c r="F104">
        <v>86</v>
      </c>
    </row>
    <row r="105" spans="1:12" x14ac:dyDescent="0.2">
      <c r="A105" s="486" t="s">
        <v>5102</v>
      </c>
      <c r="D105">
        <v>8</v>
      </c>
      <c r="E105" t="s">
        <v>248</v>
      </c>
      <c r="F105">
        <v>88</v>
      </c>
    </row>
    <row r="106" spans="1:12" x14ac:dyDescent="0.2">
      <c r="A106" t="s">
        <v>5103</v>
      </c>
      <c r="B106">
        <v>10</v>
      </c>
      <c r="D106">
        <v>9</v>
      </c>
      <c r="E106" t="s">
        <v>257</v>
      </c>
      <c r="F106">
        <v>91</v>
      </c>
    </row>
    <row r="107" spans="1:12" x14ac:dyDescent="0.2">
      <c r="A107" t="s">
        <v>5104</v>
      </c>
      <c r="B107" s="481">
        <f>SUM(E94:E103)+10*0.5</f>
        <v>79.619070220596697</v>
      </c>
      <c r="C107" t="str">
        <f>ROUND(B107/12,1)&amp;" ft"</f>
        <v>6.6 ft</v>
      </c>
      <c r="D107">
        <v>10</v>
      </c>
      <c r="E107" t="s">
        <v>261</v>
      </c>
      <c r="F107">
        <v>93</v>
      </c>
    </row>
    <row r="108" spans="1:12" x14ac:dyDescent="0.2">
      <c r="A108" t="s">
        <v>5105</v>
      </c>
      <c r="B108" s="777">
        <f>MAX(E94:E103)</f>
        <v>9.8829885715859156</v>
      </c>
    </row>
    <row r="109" spans="1:12" x14ac:dyDescent="0.2">
      <c r="A109" t="s">
        <v>5106</v>
      </c>
      <c r="B109" s="777">
        <f>MIN(E94:E103)</f>
        <v>5.3887377295784047</v>
      </c>
    </row>
    <row r="110" spans="1:12" x14ac:dyDescent="0.2">
      <c r="A110" t="s">
        <v>5107</v>
      </c>
      <c r="B110" s="778">
        <f>10*($B$7+0.25)+2</f>
        <v>14.5</v>
      </c>
      <c r="C110" t="s">
        <v>5108</v>
      </c>
    </row>
    <row r="112" spans="1:12" ht="15" x14ac:dyDescent="0.25">
      <c r="A112" s="751" t="s">
        <v>5109</v>
      </c>
      <c r="B112" s="752"/>
      <c r="C112" s="752"/>
      <c r="D112" s="752"/>
      <c r="E112" s="752"/>
    </row>
    <row r="113" spans="1:1" x14ac:dyDescent="0.2">
      <c r="A113" t="s">
        <v>5110</v>
      </c>
    </row>
    <row r="114" spans="1:1" x14ac:dyDescent="0.2">
      <c r="A114" t="s">
        <v>5111</v>
      </c>
    </row>
    <row r="115" spans="1:1" x14ac:dyDescent="0.2">
      <c r="A115" t="s">
        <v>5112</v>
      </c>
    </row>
    <row r="116" spans="1:1" x14ac:dyDescent="0.2">
      <c r="A116" t="s">
        <v>5113</v>
      </c>
    </row>
    <row r="117" spans="1:1" x14ac:dyDescent="0.2">
      <c r="A117" t="s">
        <v>5114</v>
      </c>
    </row>
    <row r="118" spans="1:1" x14ac:dyDescent="0.2">
      <c r="A118" t="s">
        <v>5115</v>
      </c>
    </row>
    <row r="119" spans="1:1" x14ac:dyDescent="0.2">
      <c r="A119" t="s">
        <v>5116</v>
      </c>
    </row>
    <row r="120" spans="1:1" x14ac:dyDescent="0.2">
      <c r="A120" t="s">
        <v>5117</v>
      </c>
    </row>
    <row r="121" spans="1:1" x14ac:dyDescent="0.2">
      <c r="A121" s="472" t="s">
        <v>5118</v>
      </c>
    </row>
    <row r="122" spans="1:1" x14ac:dyDescent="0.2">
      <c r="A122" t="s">
        <v>5119</v>
      </c>
    </row>
    <row r="123" spans="1:1" x14ac:dyDescent="0.2">
      <c r="A123" t="s">
        <v>5120</v>
      </c>
    </row>
    <row r="124" spans="1:1" x14ac:dyDescent="0.2">
      <c r="A124" t="s">
        <v>5121</v>
      </c>
    </row>
    <row r="125" spans="1:1" x14ac:dyDescent="0.2">
      <c r="A125" t="s">
        <v>5122</v>
      </c>
    </row>
    <row r="126" spans="1:1" x14ac:dyDescent="0.2">
      <c r="A126" t="s">
        <v>5123</v>
      </c>
    </row>
    <row r="129" spans="1:1" ht="18" x14ac:dyDescent="0.25">
      <c r="A129" s="833" t="s">
        <v>6963</v>
      </c>
    </row>
    <row r="130" spans="1:1" x14ac:dyDescent="0.2">
      <c r="A130" s="734" t="s">
        <v>6964</v>
      </c>
    </row>
    <row r="132" spans="1:1" x14ac:dyDescent="0.2">
      <c r="A132" s="609" t="s">
        <v>6355</v>
      </c>
    </row>
    <row r="133" spans="1:1" x14ac:dyDescent="0.2">
      <c r="A133" t="s">
        <v>6965</v>
      </c>
    </row>
    <row r="134" spans="1:1" x14ac:dyDescent="0.2">
      <c r="A134" s="759" t="s">
        <v>6966</v>
      </c>
    </row>
    <row r="135" spans="1:1" x14ac:dyDescent="0.2">
      <c r="A135" t="s">
        <v>6967</v>
      </c>
    </row>
    <row r="137" spans="1:1" x14ac:dyDescent="0.2">
      <c r="A137" s="609" t="s">
        <v>6359</v>
      </c>
    </row>
    <row r="138" spans="1:1" x14ac:dyDescent="0.2">
      <c r="A138" t="s">
        <v>6968</v>
      </c>
    </row>
    <row r="139" spans="1:1" x14ac:dyDescent="0.2">
      <c r="A139" t="s">
        <v>6969</v>
      </c>
    </row>
    <row r="140" spans="1:1" x14ac:dyDescent="0.2">
      <c r="A140" t="s">
        <v>6970</v>
      </c>
    </row>
    <row r="141" spans="1:1" x14ac:dyDescent="0.2">
      <c r="A141" t="s">
        <v>6971</v>
      </c>
    </row>
    <row r="143" spans="1:1" x14ac:dyDescent="0.2">
      <c r="A143" s="609" t="s">
        <v>6654</v>
      </c>
    </row>
    <row r="144" spans="1:1" x14ac:dyDescent="0.2">
      <c r="A144" t="s">
        <v>6972</v>
      </c>
    </row>
    <row r="145" spans="1:1" x14ac:dyDescent="0.2">
      <c r="A145" t="s">
        <v>6973</v>
      </c>
    </row>
    <row r="146" spans="1:1" x14ac:dyDescent="0.2">
      <c r="A146" t="s">
        <v>6974</v>
      </c>
    </row>
    <row r="148" spans="1:1" x14ac:dyDescent="0.2">
      <c r="A148" s="609" t="s">
        <v>6658</v>
      </c>
    </row>
    <row r="149" spans="1:1" x14ac:dyDescent="0.2">
      <c r="A149" t="s">
        <v>6975</v>
      </c>
    </row>
    <row r="150" spans="1:1" x14ac:dyDescent="0.2">
      <c r="A150" t="s">
        <v>6976</v>
      </c>
    </row>
    <row r="152" spans="1:1" x14ac:dyDescent="0.2">
      <c r="A152" s="609" t="s">
        <v>6661</v>
      </c>
    </row>
    <row r="153" spans="1:1" x14ac:dyDescent="0.2">
      <c r="A153" t="s">
        <v>6977</v>
      </c>
    </row>
    <row r="154" spans="1:1" x14ac:dyDescent="0.2">
      <c r="A154" t="s">
        <v>6978</v>
      </c>
    </row>
    <row r="155" spans="1:1" x14ac:dyDescent="0.2">
      <c r="A155" t="s">
        <v>6979</v>
      </c>
    </row>
    <row r="156" spans="1:1" x14ac:dyDescent="0.2">
      <c r="A156" t="s">
        <v>6980</v>
      </c>
    </row>
    <row r="158" spans="1:1" x14ac:dyDescent="0.2">
      <c r="A158" s="609" t="s">
        <v>6682</v>
      </c>
    </row>
    <row r="159" spans="1:1" x14ac:dyDescent="0.2">
      <c r="A159" t="s">
        <v>6945</v>
      </c>
    </row>
    <row r="161" spans="1:1" ht="18" x14ac:dyDescent="0.25">
      <c r="A161" s="838" t="s">
        <v>7394</v>
      </c>
    </row>
    <row r="162" spans="1:1" x14ac:dyDescent="0.2">
      <c r="A162" s="734" t="s">
        <v>7246</v>
      </c>
    </row>
    <row r="164" spans="1:1" x14ac:dyDescent="0.2">
      <c r="A164" s="839" t="s">
        <v>7395</v>
      </c>
    </row>
    <row r="165" spans="1:1" x14ac:dyDescent="0.2">
      <c r="A165" s="842" t="s">
        <v>7396</v>
      </c>
    </row>
    <row r="166" spans="1:1" x14ac:dyDescent="0.2">
      <c r="A166" t="s">
        <v>7397</v>
      </c>
    </row>
    <row r="168" spans="1:1" x14ac:dyDescent="0.2">
      <c r="A168" s="839" t="s">
        <v>7321</v>
      </c>
    </row>
    <row r="169" spans="1:1" x14ac:dyDescent="0.2">
      <c r="A169" s="842" t="s">
        <v>7398</v>
      </c>
    </row>
    <row r="170" spans="1:1" x14ac:dyDescent="0.2">
      <c r="A170" t="s">
        <v>7399</v>
      </c>
    </row>
    <row r="171" spans="1:1" x14ac:dyDescent="0.2">
      <c r="A171" t="s">
        <v>7400</v>
      </c>
    </row>
    <row r="173" spans="1:1" x14ac:dyDescent="0.2">
      <c r="A173" s="839" t="s">
        <v>5754</v>
      </c>
    </row>
    <row r="174" spans="1:1" x14ac:dyDescent="0.2">
      <c r="A174" t="s">
        <v>7401</v>
      </c>
    </row>
  </sheetData>
  <pageMargins left="0.7" right="0.7" top="0.75" bottom="0.75" header="0.3" footer="0.3"/>
  <legacyDrawing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53886-65C1-4BF3-9C32-0A3F79A43561}">
  <dimension ref="A1:G143"/>
  <sheetViews>
    <sheetView workbookViewId="0">
      <pane ySplit="3" topLeftCell="A4" activePane="bottomLeft" state="frozen"/>
      <selection pane="bottomLeft"/>
    </sheetView>
  </sheetViews>
  <sheetFormatPr defaultRowHeight="12.75" x14ac:dyDescent="0.2"/>
  <cols>
    <col min="1" max="1" width="137.140625" customWidth="1"/>
    <col min="2" max="2" width="30.42578125" customWidth="1"/>
    <col min="3" max="3" width="26.7109375" customWidth="1"/>
    <col min="4" max="4" width="41.85546875" customWidth="1"/>
    <col min="5" max="5" width="49.5703125" customWidth="1"/>
    <col min="6" max="6" width="26.7109375" customWidth="1"/>
    <col min="7" max="7" width="22.85546875" customWidth="1"/>
  </cols>
  <sheetData>
    <row r="1" spans="1:4" ht="18" x14ac:dyDescent="0.25">
      <c r="A1" s="470" t="s">
        <v>5124</v>
      </c>
    </row>
    <row r="2" spans="1:4" x14ac:dyDescent="0.2">
      <c r="A2" s="734" t="s">
        <v>5125</v>
      </c>
    </row>
    <row r="4" spans="1:4" ht="15" x14ac:dyDescent="0.25">
      <c r="A4" s="735" t="s">
        <v>1443</v>
      </c>
      <c r="B4" s="736"/>
      <c r="C4" s="736"/>
      <c r="D4" s="736"/>
    </row>
    <row r="5" spans="1:4" x14ac:dyDescent="0.2">
      <c r="A5" t="s">
        <v>1214</v>
      </c>
      <c r="B5" s="565">
        <v>36</v>
      </c>
      <c r="C5" t="s">
        <v>5126</v>
      </c>
    </row>
    <row r="6" spans="1:4" x14ac:dyDescent="0.2">
      <c r="A6" t="s">
        <v>5127</v>
      </c>
      <c r="B6" s="565">
        <v>3</v>
      </c>
      <c r="C6" t="s">
        <v>5128</v>
      </c>
    </row>
    <row r="7" spans="1:4" x14ac:dyDescent="0.2">
      <c r="A7" t="s">
        <v>5129</v>
      </c>
      <c r="B7" s="596">
        <v>0.125</v>
      </c>
    </row>
    <row r="8" spans="1:4" x14ac:dyDescent="0.2">
      <c r="A8" t="s">
        <v>5130</v>
      </c>
      <c r="B8" s="482">
        <f>B6-2*B7</f>
        <v>2.75</v>
      </c>
    </row>
    <row r="9" spans="1:4" x14ac:dyDescent="0.2">
      <c r="A9" t="s">
        <v>5131</v>
      </c>
      <c r="B9" s="564" t="s">
        <v>5132</v>
      </c>
      <c r="C9" t="s">
        <v>5133</v>
      </c>
    </row>
    <row r="10" spans="1:4" x14ac:dyDescent="0.2">
      <c r="A10" t="s">
        <v>5134</v>
      </c>
      <c r="B10" s="779">
        <v>0.1875</v>
      </c>
      <c r="C10" t="s">
        <v>5135</v>
      </c>
    </row>
    <row r="11" spans="1:4" x14ac:dyDescent="0.2">
      <c r="A11" t="s">
        <v>5136</v>
      </c>
      <c r="B11" s="715">
        <v>0.75</v>
      </c>
      <c r="C11" t="s">
        <v>5137</v>
      </c>
    </row>
    <row r="12" spans="1:4" x14ac:dyDescent="0.2">
      <c r="A12" t="s">
        <v>5138</v>
      </c>
      <c r="B12" s="564" t="s">
        <v>5139</v>
      </c>
      <c r="C12" t="s">
        <v>5140</v>
      </c>
    </row>
    <row r="13" spans="1:4" x14ac:dyDescent="0.2">
      <c r="A13" t="s">
        <v>5141</v>
      </c>
      <c r="B13" s="737">
        <v>10</v>
      </c>
      <c r="C13" t="s">
        <v>5142</v>
      </c>
    </row>
    <row r="14" spans="1:4" x14ac:dyDescent="0.2">
      <c r="A14" t="s">
        <v>5143</v>
      </c>
      <c r="B14" s="564" t="s">
        <v>5144</v>
      </c>
      <c r="C14" t="s">
        <v>5145</v>
      </c>
    </row>
    <row r="15" spans="1:4" x14ac:dyDescent="0.2">
      <c r="A15" t="s">
        <v>5146</v>
      </c>
      <c r="B15" s="564" t="s">
        <v>5147</v>
      </c>
      <c r="C15" t="s">
        <v>5148</v>
      </c>
    </row>
    <row r="17" spans="1:6" ht="15" x14ac:dyDescent="0.25">
      <c r="A17" s="743" t="s">
        <v>5149</v>
      </c>
      <c r="B17" s="744"/>
      <c r="C17" s="744"/>
      <c r="D17" s="744"/>
      <c r="E17" s="744"/>
      <c r="F17" s="744"/>
    </row>
    <row r="18" spans="1:6" x14ac:dyDescent="0.2">
      <c r="A18" t="s">
        <v>5150</v>
      </c>
      <c r="B18" s="469">
        <f>PI()*(B8/2)^2</f>
        <v>5.9395736106932029</v>
      </c>
    </row>
    <row r="19" spans="1:6" x14ac:dyDescent="0.2">
      <c r="A19" t="s">
        <v>5151</v>
      </c>
      <c r="B19" s="481">
        <f>B18*B5</f>
        <v>213.8246499849553</v>
      </c>
    </row>
    <row r="20" spans="1:6" x14ac:dyDescent="0.2">
      <c r="A20" t="s">
        <v>5152</v>
      </c>
      <c r="B20" s="481">
        <f>B19*B13/100</f>
        <v>21.382464998495529</v>
      </c>
    </row>
    <row r="21" spans="1:6" x14ac:dyDescent="0.2">
      <c r="A21" t="s">
        <v>5153</v>
      </c>
      <c r="B21" s="540">
        <f>B5/B11</f>
        <v>48</v>
      </c>
    </row>
    <row r="22" spans="1:6" x14ac:dyDescent="0.2">
      <c r="A22" t="s">
        <v>5154</v>
      </c>
      <c r="B22" s="540">
        <f>B21*1</f>
        <v>48</v>
      </c>
    </row>
    <row r="23" spans="1:6" x14ac:dyDescent="0.2">
      <c r="A23" t="s">
        <v>5155</v>
      </c>
      <c r="B23" s="481">
        <f>B22*B8</f>
        <v>132</v>
      </c>
      <c r="C23" t="str">
        <f>ROUND(B23/12,1)&amp;" ft"</f>
        <v>11 ft</v>
      </c>
    </row>
    <row r="24" spans="1:6" x14ac:dyDescent="0.2">
      <c r="A24" t="s">
        <v>5156</v>
      </c>
      <c r="B24" s="481">
        <f>B21*SQRT((PI()*B8)^2+B11^2)</f>
        <v>416.24990941089817</v>
      </c>
      <c r="C24" t="str">
        <f>ROUND(B24/12,1)&amp;" ft"</f>
        <v>34.7 ft</v>
      </c>
    </row>
    <row r="25" spans="1:6" x14ac:dyDescent="0.2">
      <c r="A25" t="s">
        <v>5157</v>
      </c>
      <c r="B25" s="742">
        <f>B24/2</f>
        <v>208.12495470544908</v>
      </c>
      <c r="C25" t="str">
        <f>IF(B25&gt;=60,ROUND(B25/60,1)&amp;" min",B25&amp;" sec")</f>
        <v>3.5 min</v>
      </c>
      <c r="D25" t="s">
        <v>5158</v>
      </c>
    </row>
    <row r="27" spans="1:6" x14ac:dyDescent="0.2">
      <c r="A27" s="486" t="s">
        <v>1156</v>
      </c>
      <c r="B27" s="486" t="s">
        <v>5159</v>
      </c>
      <c r="C27" s="486" t="s">
        <v>5160</v>
      </c>
      <c r="D27" s="486" t="s">
        <v>5161</v>
      </c>
      <c r="E27" s="486" t="s">
        <v>5162</v>
      </c>
      <c r="F27" s="486" t="s">
        <v>4817</v>
      </c>
    </row>
    <row r="28" spans="1:6" x14ac:dyDescent="0.2">
      <c r="A28" t="s">
        <v>5163</v>
      </c>
      <c r="B28" t="s">
        <v>5164</v>
      </c>
      <c r="C28" t="s">
        <v>5165</v>
      </c>
      <c r="D28">
        <v>16</v>
      </c>
      <c r="E28" t="s">
        <v>5166</v>
      </c>
      <c r="F28" t="s">
        <v>5167</v>
      </c>
    </row>
    <row r="29" spans="1:6" x14ac:dyDescent="0.2">
      <c r="A29" t="s">
        <v>5168</v>
      </c>
      <c r="B29" t="s">
        <v>5169</v>
      </c>
      <c r="C29" t="s">
        <v>5165</v>
      </c>
      <c r="D29">
        <v>32</v>
      </c>
      <c r="E29" t="s">
        <v>5170</v>
      </c>
      <c r="F29" t="s">
        <v>5171</v>
      </c>
    </row>
    <row r="30" spans="1:6" x14ac:dyDescent="0.2">
      <c r="A30" t="s">
        <v>4821</v>
      </c>
      <c r="B30" t="s">
        <v>2961</v>
      </c>
      <c r="C30" t="s">
        <v>2222</v>
      </c>
      <c r="D30">
        <v>48</v>
      </c>
      <c r="E30" t="s">
        <v>5172</v>
      </c>
      <c r="F30" t="s">
        <v>5173</v>
      </c>
    </row>
    <row r="31" spans="1:6" x14ac:dyDescent="0.2">
      <c r="A31" t="s">
        <v>5174</v>
      </c>
      <c r="B31" t="s">
        <v>5175</v>
      </c>
      <c r="C31" t="s">
        <v>2222</v>
      </c>
      <c r="D31">
        <v>64</v>
      </c>
      <c r="E31" t="s">
        <v>5176</v>
      </c>
      <c r="F31" t="s">
        <v>5177</v>
      </c>
    </row>
    <row r="32" spans="1:6" x14ac:dyDescent="0.2">
      <c r="A32" t="s">
        <v>5178</v>
      </c>
      <c r="B32" t="s">
        <v>5179</v>
      </c>
      <c r="C32" t="s">
        <v>2224</v>
      </c>
      <c r="D32">
        <v>80</v>
      </c>
      <c r="E32" t="s">
        <v>5180</v>
      </c>
      <c r="F32" t="s">
        <v>5181</v>
      </c>
    </row>
    <row r="34" spans="1:7" ht="15" x14ac:dyDescent="0.25">
      <c r="A34" s="738" t="s">
        <v>5182</v>
      </c>
      <c r="B34" s="739"/>
      <c r="C34" s="739"/>
      <c r="D34" s="739"/>
      <c r="E34" s="739"/>
      <c r="F34" s="739"/>
      <c r="G34" s="739"/>
    </row>
    <row r="35" spans="1:7" x14ac:dyDescent="0.2">
      <c r="A35" s="484" t="s">
        <v>3219</v>
      </c>
      <c r="B35" s="484" t="s">
        <v>5131</v>
      </c>
      <c r="C35" s="484" t="s">
        <v>5183</v>
      </c>
      <c r="D35" s="484" t="s">
        <v>5184</v>
      </c>
      <c r="E35" s="484" t="s">
        <v>3809</v>
      </c>
      <c r="F35" s="484" t="s">
        <v>3810</v>
      </c>
      <c r="G35" s="484" t="s">
        <v>5185</v>
      </c>
    </row>
    <row r="36" spans="1:7" x14ac:dyDescent="0.2">
      <c r="A36" t="s">
        <v>5186</v>
      </c>
      <c r="B36" t="s">
        <v>5187</v>
      </c>
      <c r="C36" t="s">
        <v>5188</v>
      </c>
      <c r="D36" t="s">
        <v>5189</v>
      </c>
      <c r="E36" t="s">
        <v>5190</v>
      </c>
      <c r="F36" t="s">
        <v>5191</v>
      </c>
      <c r="G36" t="s">
        <v>5192</v>
      </c>
    </row>
    <row r="37" spans="1:7" x14ac:dyDescent="0.2">
      <c r="A37" t="s">
        <v>5193</v>
      </c>
      <c r="B37" t="s">
        <v>5194</v>
      </c>
      <c r="C37" t="s">
        <v>5195</v>
      </c>
      <c r="D37" t="s">
        <v>5196</v>
      </c>
      <c r="E37" t="s">
        <v>5197</v>
      </c>
      <c r="F37" t="s">
        <v>5198</v>
      </c>
      <c r="G37" t="s">
        <v>5199</v>
      </c>
    </row>
    <row r="38" spans="1:7" x14ac:dyDescent="0.2">
      <c r="A38" t="s">
        <v>5200</v>
      </c>
      <c r="B38" t="s">
        <v>5201</v>
      </c>
      <c r="C38" t="s">
        <v>5202</v>
      </c>
      <c r="D38" t="s">
        <v>5203</v>
      </c>
      <c r="E38" t="s">
        <v>5204</v>
      </c>
      <c r="F38" t="s">
        <v>5205</v>
      </c>
      <c r="G38" t="s">
        <v>5206</v>
      </c>
    </row>
    <row r="39" spans="1:7" x14ac:dyDescent="0.2">
      <c r="A39" t="s">
        <v>5207</v>
      </c>
      <c r="B39" t="s">
        <v>5208</v>
      </c>
      <c r="C39" t="s">
        <v>5209</v>
      </c>
      <c r="D39" t="s">
        <v>5210</v>
      </c>
      <c r="E39" t="s">
        <v>5211</v>
      </c>
      <c r="F39" t="s">
        <v>5212</v>
      </c>
      <c r="G39" t="s">
        <v>5213</v>
      </c>
    </row>
    <row r="40" spans="1:7" x14ac:dyDescent="0.2">
      <c r="A40" t="s">
        <v>5214</v>
      </c>
      <c r="B40" t="s">
        <v>5215</v>
      </c>
      <c r="C40" t="s">
        <v>5216</v>
      </c>
      <c r="D40" t="s">
        <v>5217</v>
      </c>
      <c r="E40" t="s">
        <v>5218</v>
      </c>
      <c r="F40" t="s">
        <v>5219</v>
      </c>
      <c r="G40" t="s">
        <v>5220</v>
      </c>
    </row>
    <row r="41" spans="1:7" x14ac:dyDescent="0.2">
      <c r="A41" t="s">
        <v>5221</v>
      </c>
      <c r="B41" t="s">
        <v>5222</v>
      </c>
      <c r="C41" t="s">
        <v>5223</v>
      </c>
      <c r="D41" t="s">
        <v>5224</v>
      </c>
      <c r="E41" t="s">
        <v>5225</v>
      </c>
      <c r="F41" t="s">
        <v>5226</v>
      </c>
      <c r="G41" t="s">
        <v>5227</v>
      </c>
    </row>
    <row r="43" spans="1:7" ht="15" x14ac:dyDescent="0.25">
      <c r="A43" s="764" t="s">
        <v>5228</v>
      </c>
      <c r="B43" s="765"/>
      <c r="C43" s="765"/>
      <c r="D43" s="765"/>
      <c r="E43" s="765"/>
      <c r="F43" s="765"/>
    </row>
    <row r="44" spans="1:7" x14ac:dyDescent="0.2">
      <c r="A44" s="713" t="s">
        <v>5138</v>
      </c>
      <c r="B44" s="713" t="s">
        <v>5229</v>
      </c>
      <c r="C44" s="713" t="s">
        <v>5230</v>
      </c>
      <c r="D44" s="713" t="s">
        <v>5231</v>
      </c>
      <c r="E44" s="713" t="s">
        <v>5232</v>
      </c>
      <c r="F44" s="713" t="s">
        <v>2</v>
      </c>
    </row>
    <row r="45" spans="1:7" x14ac:dyDescent="0.2">
      <c r="A45" t="s">
        <v>5139</v>
      </c>
      <c r="B45" t="s">
        <v>5233</v>
      </c>
      <c r="C45" t="s">
        <v>3721</v>
      </c>
      <c r="D45" t="s">
        <v>5234</v>
      </c>
      <c r="E45" t="s">
        <v>5235</v>
      </c>
      <c r="F45" t="s">
        <v>5236</v>
      </c>
    </row>
    <row r="46" spans="1:7" x14ac:dyDescent="0.2">
      <c r="A46" t="s">
        <v>5237</v>
      </c>
      <c r="B46" t="s">
        <v>5238</v>
      </c>
      <c r="C46" t="s">
        <v>5239</v>
      </c>
      <c r="D46" t="s">
        <v>5240</v>
      </c>
      <c r="E46" t="s">
        <v>5241</v>
      </c>
      <c r="F46" t="s">
        <v>5242</v>
      </c>
    </row>
    <row r="47" spans="1:7" x14ac:dyDescent="0.2">
      <c r="A47" t="s">
        <v>5243</v>
      </c>
      <c r="B47" t="s">
        <v>5244</v>
      </c>
      <c r="C47" t="s">
        <v>5245</v>
      </c>
      <c r="D47" t="s">
        <v>5246</v>
      </c>
      <c r="E47" t="s">
        <v>5241</v>
      </c>
      <c r="F47" t="s">
        <v>5247</v>
      </c>
    </row>
    <row r="48" spans="1:7" x14ac:dyDescent="0.2">
      <c r="A48" t="s">
        <v>5248</v>
      </c>
      <c r="B48" t="s">
        <v>5249</v>
      </c>
      <c r="C48" t="s">
        <v>5250</v>
      </c>
      <c r="D48" t="s">
        <v>1566</v>
      </c>
      <c r="E48" t="s">
        <v>5251</v>
      </c>
      <c r="F48" t="s">
        <v>5252</v>
      </c>
    </row>
    <row r="49" spans="1:6" x14ac:dyDescent="0.2">
      <c r="A49" t="s">
        <v>5253</v>
      </c>
      <c r="B49" t="s">
        <v>5254</v>
      </c>
      <c r="C49" t="s">
        <v>5245</v>
      </c>
      <c r="D49" t="s">
        <v>5255</v>
      </c>
      <c r="E49" t="s">
        <v>5256</v>
      </c>
      <c r="F49" t="s">
        <v>5257</v>
      </c>
    </row>
    <row r="50" spans="1:6" x14ac:dyDescent="0.2">
      <c r="A50" t="s">
        <v>5258</v>
      </c>
      <c r="B50" t="s">
        <v>5259</v>
      </c>
      <c r="C50" t="s">
        <v>5260</v>
      </c>
      <c r="D50" t="s">
        <v>5261</v>
      </c>
      <c r="E50" t="s">
        <v>5241</v>
      </c>
      <c r="F50" t="s">
        <v>5262</v>
      </c>
    </row>
    <row r="51" spans="1:6" x14ac:dyDescent="0.2">
      <c r="A51" t="s">
        <v>5263</v>
      </c>
      <c r="B51" t="s">
        <v>5264</v>
      </c>
      <c r="C51" t="s">
        <v>5265</v>
      </c>
      <c r="D51" t="s">
        <v>5266</v>
      </c>
      <c r="E51" t="s">
        <v>5267</v>
      </c>
      <c r="F51" t="s">
        <v>5268</v>
      </c>
    </row>
    <row r="52" spans="1:6" x14ac:dyDescent="0.2">
      <c r="A52" t="s">
        <v>5269</v>
      </c>
      <c r="B52" t="s">
        <v>5270</v>
      </c>
      <c r="C52" t="s">
        <v>3721</v>
      </c>
      <c r="D52" t="s">
        <v>1566</v>
      </c>
      <c r="E52" t="s">
        <v>5271</v>
      </c>
      <c r="F52" t="s">
        <v>5272</v>
      </c>
    </row>
    <row r="54" spans="1:6" x14ac:dyDescent="0.2">
      <c r="A54" s="475" t="s">
        <v>5273</v>
      </c>
      <c r="B54" s="475" t="s">
        <v>5274</v>
      </c>
      <c r="C54" s="475" t="s">
        <v>5275</v>
      </c>
      <c r="D54" s="475" t="s">
        <v>5276</v>
      </c>
      <c r="E54" s="475" t="s">
        <v>2789</v>
      </c>
    </row>
    <row r="55" spans="1:6" x14ac:dyDescent="0.2">
      <c r="A55" t="s">
        <v>5277</v>
      </c>
      <c r="B55" t="s">
        <v>5278</v>
      </c>
      <c r="C55" t="s">
        <v>5279</v>
      </c>
      <c r="D55" t="s">
        <v>5280</v>
      </c>
      <c r="E55" t="s">
        <v>5281</v>
      </c>
    </row>
    <row r="56" spans="1:6" x14ac:dyDescent="0.2">
      <c r="A56" t="s">
        <v>5282</v>
      </c>
      <c r="B56" t="s">
        <v>5283</v>
      </c>
      <c r="C56" t="s">
        <v>5284</v>
      </c>
      <c r="D56" t="s">
        <v>5285</v>
      </c>
      <c r="E56" t="s">
        <v>5286</v>
      </c>
    </row>
    <row r="57" spans="1:6" x14ac:dyDescent="0.2">
      <c r="A57" t="s">
        <v>5287</v>
      </c>
      <c r="B57" t="s">
        <v>5288</v>
      </c>
      <c r="C57" t="s">
        <v>5289</v>
      </c>
      <c r="D57" t="s">
        <v>5290</v>
      </c>
      <c r="E57" t="s">
        <v>5291</v>
      </c>
    </row>
    <row r="58" spans="1:6" x14ac:dyDescent="0.2">
      <c r="A58" t="s">
        <v>5292</v>
      </c>
      <c r="B58" t="s">
        <v>5293</v>
      </c>
      <c r="C58" t="s">
        <v>5294</v>
      </c>
      <c r="D58" t="s">
        <v>5295</v>
      </c>
      <c r="E58" t="s">
        <v>5296</v>
      </c>
    </row>
    <row r="59" spans="1:6" x14ac:dyDescent="0.2">
      <c r="A59" t="s">
        <v>5297</v>
      </c>
      <c r="B59" t="s">
        <v>5298</v>
      </c>
      <c r="C59" t="s">
        <v>5299</v>
      </c>
      <c r="D59" t="s">
        <v>5300</v>
      </c>
      <c r="E59" t="s">
        <v>5301</v>
      </c>
    </row>
    <row r="60" spans="1:6" x14ac:dyDescent="0.2">
      <c r="A60" t="s">
        <v>5302</v>
      </c>
      <c r="B60" t="s">
        <v>5303</v>
      </c>
      <c r="C60" t="s">
        <v>5304</v>
      </c>
      <c r="D60" t="s">
        <v>5305</v>
      </c>
      <c r="E60" t="s">
        <v>5306</v>
      </c>
    </row>
    <row r="62" spans="1:6" ht="15" x14ac:dyDescent="0.25">
      <c r="A62" s="735" t="s">
        <v>5307</v>
      </c>
      <c r="B62" s="736"/>
      <c r="C62" s="736"/>
      <c r="D62" s="736"/>
      <c r="E62" s="736"/>
      <c r="F62" s="736"/>
    </row>
    <row r="63" spans="1:6" x14ac:dyDescent="0.2">
      <c r="A63" s="475" t="s">
        <v>610</v>
      </c>
      <c r="B63" s="475" t="s">
        <v>1545</v>
      </c>
      <c r="C63" s="475" t="s">
        <v>1546</v>
      </c>
      <c r="D63" s="475" t="s">
        <v>4543</v>
      </c>
      <c r="E63" s="475" t="s">
        <v>4544</v>
      </c>
      <c r="F63" s="475" t="s">
        <v>1549</v>
      </c>
    </row>
    <row r="64" spans="1:6" x14ac:dyDescent="0.2">
      <c r="A64">
        <v>1</v>
      </c>
      <c r="B64" t="s">
        <v>5308</v>
      </c>
      <c r="C64">
        <v>1</v>
      </c>
      <c r="D64" t="s">
        <v>5309</v>
      </c>
      <c r="E64" t="s">
        <v>5310</v>
      </c>
      <c r="F64" s="564" t="s">
        <v>5311</v>
      </c>
    </row>
    <row r="65" spans="1:6" x14ac:dyDescent="0.2">
      <c r="A65">
        <v>2</v>
      </c>
      <c r="B65" t="s">
        <v>5312</v>
      </c>
      <c r="C65">
        <f>B22</f>
        <v>48</v>
      </c>
      <c r="D65" t="s">
        <v>5313</v>
      </c>
      <c r="E65" t="s">
        <v>5314</v>
      </c>
      <c r="F65" t="s">
        <v>4263</v>
      </c>
    </row>
    <row r="66" spans="1:6" x14ac:dyDescent="0.2">
      <c r="A66">
        <v>3</v>
      </c>
      <c r="B66" t="s">
        <v>5315</v>
      </c>
      <c r="C66" t="s">
        <v>2738</v>
      </c>
      <c r="D66" t="s">
        <v>5316</v>
      </c>
      <c r="E66" t="s">
        <v>5317</v>
      </c>
      <c r="F66" t="s">
        <v>4906</v>
      </c>
    </row>
    <row r="67" spans="1:6" x14ac:dyDescent="0.2">
      <c r="A67">
        <v>4</v>
      </c>
      <c r="B67" t="s">
        <v>5318</v>
      </c>
      <c r="C67">
        <v>2</v>
      </c>
      <c r="D67" t="s">
        <v>5319</v>
      </c>
      <c r="E67" t="s">
        <v>5320</v>
      </c>
      <c r="F67" t="s">
        <v>4263</v>
      </c>
    </row>
    <row r="68" spans="1:6" x14ac:dyDescent="0.2">
      <c r="A68">
        <v>5</v>
      </c>
      <c r="B68" t="s">
        <v>5321</v>
      </c>
      <c r="C68">
        <v>1</v>
      </c>
      <c r="D68" t="s">
        <v>5322</v>
      </c>
      <c r="E68" t="s">
        <v>4571</v>
      </c>
      <c r="F68" t="s">
        <v>4916</v>
      </c>
    </row>
    <row r="69" spans="1:6" x14ac:dyDescent="0.2">
      <c r="A69">
        <v>6</v>
      </c>
      <c r="B69" t="s">
        <v>5323</v>
      </c>
      <c r="C69">
        <v>1</v>
      </c>
      <c r="D69" t="s">
        <v>5324</v>
      </c>
      <c r="E69" t="s">
        <v>5325</v>
      </c>
      <c r="F69" t="s">
        <v>5326</v>
      </c>
    </row>
    <row r="70" spans="1:6" x14ac:dyDescent="0.2">
      <c r="A70">
        <v>7</v>
      </c>
      <c r="B70" t="s">
        <v>5327</v>
      </c>
      <c r="C70">
        <v>1</v>
      </c>
      <c r="D70" t="s">
        <v>5328</v>
      </c>
      <c r="E70" t="s">
        <v>5329</v>
      </c>
      <c r="F70" t="s">
        <v>4919</v>
      </c>
    </row>
    <row r="71" spans="1:6" x14ac:dyDescent="0.2">
      <c r="A71">
        <v>8</v>
      </c>
      <c r="B71" t="s">
        <v>3052</v>
      </c>
      <c r="C71">
        <v>1</v>
      </c>
      <c r="D71" t="s">
        <v>5330</v>
      </c>
      <c r="E71" t="s">
        <v>5325</v>
      </c>
      <c r="F71" t="s">
        <v>5326</v>
      </c>
    </row>
    <row r="72" spans="1:6" x14ac:dyDescent="0.2">
      <c r="B72" s="472" t="s">
        <v>4098</v>
      </c>
      <c r="F72" s="472" t="s">
        <v>5331</v>
      </c>
    </row>
    <row r="74" spans="1:6" ht="15" x14ac:dyDescent="0.25">
      <c r="A74" s="747" t="s">
        <v>5332</v>
      </c>
      <c r="B74" s="748"/>
      <c r="C74" s="748"/>
      <c r="D74" s="748"/>
      <c r="E74" s="748"/>
      <c r="F74" s="748"/>
    </row>
    <row r="75" spans="1:6" x14ac:dyDescent="0.2">
      <c r="A75" s="768" t="s">
        <v>610</v>
      </c>
      <c r="B75" s="768" t="s">
        <v>1623</v>
      </c>
      <c r="C75" s="768" t="s">
        <v>1624</v>
      </c>
      <c r="D75" s="768" t="s">
        <v>4100</v>
      </c>
      <c r="E75" s="768" t="s">
        <v>5333</v>
      </c>
    </row>
    <row r="76" spans="1:6" x14ac:dyDescent="0.2">
      <c r="A76">
        <v>1</v>
      </c>
      <c r="B76" t="s">
        <v>5334</v>
      </c>
      <c r="C76" t="s">
        <v>5335</v>
      </c>
      <c r="D76" t="s">
        <v>5336</v>
      </c>
      <c r="E76" t="s">
        <v>5337</v>
      </c>
    </row>
    <row r="77" spans="1:6" x14ac:dyDescent="0.2">
      <c r="A77">
        <v>2</v>
      </c>
      <c r="B77" t="s">
        <v>5334</v>
      </c>
      <c r="C77" t="s">
        <v>5338</v>
      </c>
      <c r="D77" t="s">
        <v>5339</v>
      </c>
      <c r="E77" t="s">
        <v>5340</v>
      </c>
    </row>
    <row r="78" spans="1:6" x14ac:dyDescent="0.2">
      <c r="A78">
        <v>3</v>
      </c>
      <c r="B78" t="s">
        <v>5341</v>
      </c>
      <c r="C78" t="s">
        <v>5342</v>
      </c>
      <c r="D78" t="s">
        <v>5343</v>
      </c>
      <c r="E78" t="s">
        <v>5344</v>
      </c>
    </row>
    <row r="79" spans="1:6" x14ac:dyDescent="0.2">
      <c r="A79">
        <v>4</v>
      </c>
      <c r="B79" t="s">
        <v>5341</v>
      </c>
      <c r="C79" t="s">
        <v>5345</v>
      </c>
      <c r="D79" t="s">
        <v>5346</v>
      </c>
      <c r="E79" t="s">
        <v>5347</v>
      </c>
    </row>
    <row r="80" spans="1:6" x14ac:dyDescent="0.2">
      <c r="A80">
        <v>5</v>
      </c>
      <c r="B80" t="s">
        <v>5348</v>
      </c>
      <c r="C80" t="s">
        <v>5349</v>
      </c>
      <c r="D80" t="s">
        <v>5350</v>
      </c>
      <c r="E80" t="s">
        <v>5351</v>
      </c>
    </row>
    <row r="81" spans="1:6" x14ac:dyDescent="0.2">
      <c r="A81">
        <v>6</v>
      </c>
      <c r="B81" t="s">
        <v>5348</v>
      </c>
      <c r="C81" t="s">
        <v>5352</v>
      </c>
      <c r="D81" t="s">
        <v>5353</v>
      </c>
      <c r="E81" t="s">
        <v>5354</v>
      </c>
    </row>
    <row r="82" spans="1:6" x14ac:dyDescent="0.2">
      <c r="A82">
        <v>7</v>
      </c>
      <c r="B82" t="s">
        <v>5348</v>
      </c>
      <c r="C82" t="s">
        <v>5355</v>
      </c>
      <c r="D82" t="s">
        <v>5356</v>
      </c>
      <c r="E82" t="s">
        <v>5357</v>
      </c>
    </row>
    <row r="83" spans="1:6" x14ac:dyDescent="0.2">
      <c r="A83">
        <v>8</v>
      </c>
      <c r="B83" t="s">
        <v>3893</v>
      </c>
      <c r="C83" t="s">
        <v>5358</v>
      </c>
      <c r="D83" t="s">
        <v>5359</v>
      </c>
      <c r="E83" t="s">
        <v>5360</v>
      </c>
    </row>
    <row r="84" spans="1:6" x14ac:dyDescent="0.2">
      <c r="A84">
        <v>9</v>
      </c>
      <c r="B84" t="s">
        <v>3893</v>
      </c>
      <c r="C84" t="s">
        <v>5361</v>
      </c>
      <c r="D84" t="s">
        <v>5362</v>
      </c>
      <c r="E84" t="s">
        <v>5363</v>
      </c>
    </row>
    <row r="85" spans="1:6" x14ac:dyDescent="0.2">
      <c r="A85">
        <v>10</v>
      </c>
      <c r="B85" t="s">
        <v>5364</v>
      </c>
      <c r="C85" t="s">
        <v>5365</v>
      </c>
      <c r="D85" t="s">
        <v>5366</v>
      </c>
      <c r="E85" t="s">
        <v>5367</v>
      </c>
    </row>
    <row r="86" spans="1:6" x14ac:dyDescent="0.2">
      <c r="A86">
        <v>11</v>
      </c>
      <c r="B86" t="s">
        <v>5364</v>
      </c>
      <c r="C86" t="s">
        <v>5368</v>
      </c>
      <c r="D86" t="s">
        <v>5362</v>
      </c>
      <c r="E86" t="s">
        <v>5369</v>
      </c>
    </row>
    <row r="87" spans="1:6" x14ac:dyDescent="0.2">
      <c r="A87">
        <v>12</v>
      </c>
      <c r="B87" t="s">
        <v>1785</v>
      </c>
      <c r="C87" t="s">
        <v>5370</v>
      </c>
      <c r="D87" t="s">
        <v>5371</v>
      </c>
      <c r="E87" t="s">
        <v>5372</v>
      </c>
    </row>
    <row r="89" spans="1:6" ht="15" x14ac:dyDescent="0.25">
      <c r="A89" s="751" t="s">
        <v>1532</v>
      </c>
      <c r="B89" s="752"/>
      <c r="C89" s="752"/>
      <c r="D89" s="752"/>
      <c r="E89" s="752"/>
      <c r="F89" s="752"/>
    </row>
    <row r="90" spans="1:6" x14ac:dyDescent="0.2">
      <c r="A90" t="s">
        <v>5373</v>
      </c>
    </row>
    <row r="91" spans="1:6" x14ac:dyDescent="0.2">
      <c r="A91" t="s">
        <v>5374</v>
      </c>
    </row>
    <row r="92" spans="1:6" x14ac:dyDescent="0.2">
      <c r="A92" t="s">
        <v>5375</v>
      </c>
    </row>
    <row r="93" spans="1:6" x14ac:dyDescent="0.2">
      <c r="A93" t="s">
        <v>5376</v>
      </c>
    </row>
    <row r="94" spans="1:6" x14ac:dyDescent="0.2">
      <c r="A94" t="s">
        <v>5377</v>
      </c>
    </row>
    <row r="95" spans="1:6" x14ac:dyDescent="0.2">
      <c r="A95" t="s">
        <v>5378</v>
      </c>
    </row>
    <row r="96" spans="1:6" x14ac:dyDescent="0.2">
      <c r="A96" t="s">
        <v>5379</v>
      </c>
    </row>
    <row r="97" spans="1:1" x14ac:dyDescent="0.2">
      <c r="A97" t="s">
        <v>5380</v>
      </c>
    </row>
    <row r="98" spans="1:1" x14ac:dyDescent="0.2">
      <c r="A98" t="s">
        <v>5381</v>
      </c>
    </row>
    <row r="99" spans="1:1" x14ac:dyDescent="0.2">
      <c r="A99" t="s">
        <v>5382</v>
      </c>
    </row>
    <row r="102" spans="1:1" ht="18" x14ac:dyDescent="0.25">
      <c r="A102" s="833" t="s">
        <v>7069</v>
      </c>
    </row>
    <row r="103" spans="1:1" x14ac:dyDescent="0.2">
      <c r="A103" s="734" t="s">
        <v>7070</v>
      </c>
    </row>
    <row r="105" spans="1:1" x14ac:dyDescent="0.2">
      <c r="A105" s="609" t="s">
        <v>6355</v>
      </c>
    </row>
    <row r="106" spans="1:1" x14ac:dyDescent="0.2">
      <c r="A106" t="s">
        <v>7071</v>
      </c>
    </row>
    <row r="107" spans="1:1" x14ac:dyDescent="0.2">
      <c r="A107" t="s">
        <v>7072</v>
      </c>
    </row>
    <row r="108" spans="1:1" x14ac:dyDescent="0.2">
      <c r="A108" t="s">
        <v>7073</v>
      </c>
    </row>
    <row r="110" spans="1:1" x14ac:dyDescent="0.2">
      <c r="A110" s="609" t="s">
        <v>7074</v>
      </c>
    </row>
    <row r="111" spans="1:1" x14ac:dyDescent="0.2">
      <c r="A111" t="s">
        <v>7075</v>
      </c>
    </row>
    <row r="112" spans="1:1" x14ac:dyDescent="0.2">
      <c r="A112" t="s">
        <v>7076</v>
      </c>
    </row>
    <row r="113" spans="1:1" x14ac:dyDescent="0.2">
      <c r="A113" t="s">
        <v>7077</v>
      </c>
    </row>
    <row r="115" spans="1:1" x14ac:dyDescent="0.2">
      <c r="A115" s="609" t="s">
        <v>6654</v>
      </c>
    </row>
    <row r="116" spans="1:1" x14ac:dyDescent="0.2">
      <c r="A116" t="s">
        <v>7078</v>
      </c>
    </row>
    <row r="117" spans="1:1" x14ac:dyDescent="0.2">
      <c r="A117" t="s">
        <v>7079</v>
      </c>
    </row>
    <row r="118" spans="1:1" x14ac:dyDescent="0.2">
      <c r="A118" t="s">
        <v>7080</v>
      </c>
    </row>
    <row r="120" spans="1:1" x14ac:dyDescent="0.2">
      <c r="A120" s="609" t="s">
        <v>7081</v>
      </c>
    </row>
    <row r="121" spans="1:1" x14ac:dyDescent="0.2">
      <c r="A121" t="s">
        <v>7082</v>
      </c>
    </row>
    <row r="122" spans="1:1" x14ac:dyDescent="0.2">
      <c r="A122" t="s">
        <v>7083</v>
      </c>
    </row>
    <row r="123" spans="1:1" x14ac:dyDescent="0.2">
      <c r="A123" t="s">
        <v>7084</v>
      </c>
    </row>
    <row r="124" spans="1:1" x14ac:dyDescent="0.2">
      <c r="A124" t="s">
        <v>7085</v>
      </c>
    </row>
    <row r="130" spans="1:1" ht="18" x14ac:dyDescent="0.25">
      <c r="A130" s="838" t="s">
        <v>7443</v>
      </c>
    </row>
    <row r="131" spans="1:1" x14ac:dyDescent="0.2">
      <c r="A131" s="734" t="s">
        <v>7246</v>
      </c>
    </row>
    <row r="133" spans="1:1" x14ac:dyDescent="0.2">
      <c r="A133" s="839" t="s">
        <v>7444</v>
      </c>
    </row>
    <row r="134" spans="1:1" x14ac:dyDescent="0.2">
      <c r="A134" s="842" t="s">
        <v>7445</v>
      </c>
    </row>
    <row r="135" spans="1:1" x14ac:dyDescent="0.2">
      <c r="A135" t="s">
        <v>7446</v>
      </c>
    </row>
    <row r="136" spans="1:1" x14ac:dyDescent="0.2">
      <c r="A136" t="s">
        <v>7447</v>
      </c>
    </row>
    <row r="138" spans="1:1" x14ac:dyDescent="0.2">
      <c r="A138" s="839" t="s">
        <v>7448</v>
      </c>
    </row>
    <row r="139" spans="1:1" x14ac:dyDescent="0.2">
      <c r="A139" t="s">
        <v>7449</v>
      </c>
    </row>
    <row r="141" spans="1:1" x14ac:dyDescent="0.2">
      <c r="A141" s="839" t="s">
        <v>7366</v>
      </c>
    </row>
    <row r="142" spans="1:1" x14ac:dyDescent="0.2">
      <c r="A142" s="842" t="s">
        <v>7426</v>
      </c>
    </row>
    <row r="143" spans="1:1" x14ac:dyDescent="0.2">
      <c r="A143" t="s">
        <v>7450</v>
      </c>
    </row>
  </sheetData>
  <pageMargins left="0.7" right="0.7" top="0.75" bottom="0.75" header="0.3" footer="0.3"/>
  <legacyDrawing r:id="rId1"/>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FA2F7-1CD0-435B-998F-F0909939CE49}">
  <dimension ref="A1:H141"/>
  <sheetViews>
    <sheetView workbookViewId="0">
      <pane ySplit="3" topLeftCell="A4" activePane="bottomLeft" state="frozen"/>
      <selection pane="bottomLeft" activeCell="E14" sqref="E14"/>
    </sheetView>
  </sheetViews>
  <sheetFormatPr defaultRowHeight="12.75" x14ac:dyDescent="0.2"/>
  <cols>
    <col min="1" max="1" width="137.140625" customWidth="1"/>
    <col min="2" max="2" width="30.42578125" customWidth="1"/>
    <col min="3" max="3" width="22.85546875" customWidth="1"/>
    <col min="4" max="4" width="30.42578125" customWidth="1"/>
    <col min="5" max="5" width="47.5703125" customWidth="1"/>
    <col min="6" max="6" width="19" customWidth="1"/>
    <col min="7" max="7" width="17.140625" customWidth="1"/>
    <col min="8" max="8" width="15.28515625" customWidth="1"/>
  </cols>
  <sheetData>
    <row r="1" spans="1:4" ht="18" x14ac:dyDescent="0.25">
      <c r="A1" s="470" t="s">
        <v>5383</v>
      </c>
    </row>
    <row r="2" spans="1:4" x14ac:dyDescent="0.2">
      <c r="A2" s="734" t="s">
        <v>5384</v>
      </c>
    </row>
    <row r="4" spans="1:4" ht="15" x14ac:dyDescent="0.25">
      <c r="A4" s="735" t="s">
        <v>1443</v>
      </c>
      <c r="B4" s="736"/>
      <c r="C4" s="736"/>
      <c r="D4" s="736"/>
    </row>
    <row r="5" spans="1:4" x14ac:dyDescent="0.2">
      <c r="A5" t="s">
        <v>5385</v>
      </c>
      <c r="B5" s="564" t="s">
        <v>5386</v>
      </c>
      <c r="C5" t="s">
        <v>5387</v>
      </c>
    </row>
    <row r="6" spans="1:4" x14ac:dyDescent="0.2">
      <c r="A6" t="s">
        <v>5388</v>
      </c>
      <c r="B6" s="737">
        <v>130</v>
      </c>
      <c r="C6" t="s">
        <v>5389</v>
      </c>
    </row>
    <row r="7" spans="1:4" x14ac:dyDescent="0.2">
      <c r="A7" t="s">
        <v>5390</v>
      </c>
      <c r="B7" s="565">
        <v>0.4</v>
      </c>
      <c r="C7" t="s">
        <v>5391</v>
      </c>
    </row>
    <row r="8" spans="1:4" x14ac:dyDescent="0.2">
      <c r="A8" t="s">
        <v>5392</v>
      </c>
      <c r="B8" s="715">
        <v>0.9</v>
      </c>
      <c r="C8" t="s">
        <v>5393</v>
      </c>
    </row>
    <row r="9" spans="1:4" x14ac:dyDescent="0.2">
      <c r="A9" t="s">
        <v>5394</v>
      </c>
      <c r="B9" s="715">
        <v>0.5</v>
      </c>
      <c r="C9" t="s">
        <v>5395</v>
      </c>
    </row>
    <row r="10" spans="1:4" x14ac:dyDescent="0.2">
      <c r="A10" t="s">
        <v>5396</v>
      </c>
      <c r="B10" s="482">
        <f>B8*B9</f>
        <v>0.45</v>
      </c>
      <c r="C10" t="s">
        <v>5397</v>
      </c>
    </row>
    <row r="11" spans="1:4" x14ac:dyDescent="0.2">
      <c r="A11" t="s">
        <v>5398</v>
      </c>
      <c r="B11" s="679">
        <v>34300</v>
      </c>
      <c r="C11" t="s">
        <v>5399</v>
      </c>
    </row>
    <row r="12" spans="1:4" x14ac:dyDescent="0.2">
      <c r="A12" t="s">
        <v>5400</v>
      </c>
      <c r="B12" s="564">
        <v>12</v>
      </c>
    </row>
    <row r="13" spans="1:4" x14ac:dyDescent="0.2">
      <c r="A13" t="s">
        <v>5401</v>
      </c>
      <c r="B13" s="564" t="s">
        <v>5402</v>
      </c>
      <c r="C13" t="s">
        <v>5403</v>
      </c>
    </row>
    <row r="14" spans="1:4" x14ac:dyDescent="0.2">
      <c r="A14" t="s">
        <v>5404</v>
      </c>
      <c r="B14" s="737">
        <v>12</v>
      </c>
      <c r="C14" t="s">
        <v>5405</v>
      </c>
    </row>
    <row r="15" spans="1:4" x14ac:dyDescent="0.2">
      <c r="A15" t="s">
        <v>5406</v>
      </c>
      <c r="B15" s="564" t="s">
        <v>5407</v>
      </c>
    </row>
    <row r="16" spans="1:4" x14ac:dyDescent="0.2">
      <c r="A16" t="s">
        <v>5408</v>
      </c>
      <c r="B16" s="564" t="s">
        <v>5409</v>
      </c>
    </row>
    <row r="18" spans="1:6" ht="15" x14ac:dyDescent="0.25">
      <c r="A18" s="738" t="s">
        <v>5410</v>
      </c>
      <c r="B18" s="739"/>
      <c r="C18" s="739"/>
      <c r="D18" s="739"/>
      <c r="E18" s="739"/>
      <c r="F18" s="739"/>
    </row>
    <row r="19" spans="1:6" x14ac:dyDescent="0.2">
      <c r="A19" s="484" t="s">
        <v>2262</v>
      </c>
      <c r="B19" s="484" t="s">
        <v>5411</v>
      </c>
      <c r="C19" s="484" t="s">
        <v>1414</v>
      </c>
      <c r="D19" s="484" t="s">
        <v>1297</v>
      </c>
      <c r="E19" s="484" t="s">
        <v>5412</v>
      </c>
      <c r="F19" s="484" t="s">
        <v>3773</v>
      </c>
    </row>
    <row r="20" spans="1:6" x14ac:dyDescent="0.2">
      <c r="A20" t="s">
        <v>5413</v>
      </c>
      <c r="B20">
        <v>50</v>
      </c>
      <c r="C20" t="s">
        <v>5414</v>
      </c>
      <c r="D20" s="695">
        <v>46085</v>
      </c>
      <c r="E20">
        <v>12</v>
      </c>
      <c r="F20" t="s">
        <v>5415</v>
      </c>
    </row>
    <row r="21" spans="1:6" x14ac:dyDescent="0.2">
      <c r="A21" t="s">
        <v>5416</v>
      </c>
      <c r="B21">
        <v>65</v>
      </c>
      <c r="C21" t="s">
        <v>5417</v>
      </c>
      <c r="D21" s="695">
        <v>46117</v>
      </c>
      <c r="E21">
        <v>12</v>
      </c>
      <c r="F21" t="s">
        <v>5418</v>
      </c>
    </row>
    <row r="22" spans="1:6" x14ac:dyDescent="0.2">
      <c r="A22" t="s">
        <v>5419</v>
      </c>
      <c r="B22">
        <v>80</v>
      </c>
      <c r="C22" t="s">
        <v>5420</v>
      </c>
      <c r="D22" s="695">
        <v>46148</v>
      </c>
      <c r="E22">
        <v>12</v>
      </c>
      <c r="F22" t="s">
        <v>5421</v>
      </c>
    </row>
    <row r="23" spans="1:6" x14ac:dyDescent="0.2">
      <c r="A23" t="s">
        <v>5422</v>
      </c>
      <c r="B23">
        <v>130</v>
      </c>
      <c r="C23" t="s">
        <v>5423</v>
      </c>
      <c r="D23" s="695">
        <v>46180</v>
      </c>
      <c r="E23">
        <v>12</v>
      </c>
      <c r="F23" t="s">
        <v>5424</v>
      </c>
    </row>
    <row r="24" spans="1:6" x14ac:dyDescent="0.2">
      <c r="A24" t="s">
        <v>5425</v>
      </c>
      <c r="B24">
        <v>200</v>
      </c>
      <c r="C24" t="s">
        <v>5426</v>
      </c>
      <c r="D24" s="695">
        <v>46211</v>
      </c>
      <c r="E24">
        <v>12</v>
      </c>
      <c r="F24" t="s">
        <v>5427</v>
      </c>
    </row>
    <row r="25" spans="1:6" x14ac:dyDescent="0.2">
      <c r="A25" t="s">
        <v>5428</v>
      </c>
      <c r="B25">
        <v>250</v>
      </c>
      <c r="C25" t="s">
        <v>5429</v>
      </c>
      <c r="D25" s="695">
        <v>46243</v>
      </c>
      <c r="E25">
        <v>12</v>
      </c>
      <c r="F25" t="s">
        <v>5430</v>
      </c>
    </row>
    <row r="26" spans="1:6" x14ac:dyDescent="0.2">
      <c r="A26" t="s">
        <v>5431</v>
      </c>
      <c r="B26">
        <v>500</v>
      </c>
      <c r="C26" t="s">
        <v>5432</v>
      </c>
      <c r="D26" s="695">
        <v>46307</v>
      </c>
      <c r="E26">
        <v>12</v>
      </c>
      <c r="F26" t="s">
        <v>5433</v>
      </c>
    </row>
    <row r="28" spans="1:6" ht="15" x14ac:dyDescent="0.25">
      <c r="A28" s="743" t="s">
        <v>5434</v>
      </c>
      <c r="B28" s="744"/>
      <c r="C28" s="744"/>
      <c r="D28" s="744"/>
      <c r="E28" s="744"/>
    </row>
    <row r="29" spans="1:6" x14ac:dyDescent="0.2">
      <c r="A29" t="s">
        <v>5435</v>
      </c>
      <c r="B29" s="482">
        <f>B10</f>
        <v>0.45</v>
      </c>
    </row>
    <row r="30" spans="1:6" x14ac:dyDescent="0.2">
      <c r="A30" t="s">
        <v>5436</v>
      </c>
      <c r="B30" s="482">
        <f>0.6*SQRT(B29/PI())</f>
        <v>0.2270819269818144</v>
      </c>
    </row>
    <row r="31" spans="1:6" x14ac:dyDescent="0.2">
      <c r="A31" t="s">
        <v>5437</v>
      </c>
      <c r="B31" s="482">
        <f>B7+B30</f>
        <v>0.62708192698181442</v>
      </c>
    </row>
    <row r="32" spans="1:6" x14ac:dyDescent="0.2">
      <c r="A32" t="s">
        <v>3962</v>
      </c>
      <c r="B32" s="707">
        <f>(B11/(2*PI()))*SQRT(B29/(B6*B31))</f>
        <v>405.58948781661098</v>
      </c>
      <c r="C32" t="s">
        <v>5438</v>
      </c>
    </row>
    <row r="33" spans="1:8" x14ac:dyDescent="0.2">
      <c r="A33" t="s">
        <v>3963</v>
      </c>
      <c r="B33" s="472" t="str">
        <f>CHOOSE(MOD(ROUND(12*LOG(B32/440,2)+69,0),12)+1,"C","C#","D","D#","E","F","F#","G","G#","A","A#","B")&amp;INT(ROUND(12*LOG(B32/440,2)+69,0)/12-1)</f>
        <v>G#4</v>
      </c>
    </row>
    <row r="34" spans="1:8" x14ac:dyDescent="0.2">
      <c r="A34" t="s">
        <v>5439</v>
      </c>
      <c r="B34" s="540">
        <f>1200*LOG(B32/440,2)</f>
        <v>-140.97991572408429</v>
      </c>
      <c r="C34" t="s">
        <v>5440</v>
      </c>
    </row>
    <row r="36" spans="1:8" ht="15" x14ac:dyDescent="0.25">
      <c r="A36" s="764" t="s">
        <v>5441</v>
      </c>
      <c r="B36" s="765"/>
      <c r="C36" s="765"/>
      <c r="D36" s="765"/>
      <c r="E36" s="765"/>
      <c r="F36" s="765"/>
      <c r="G36" s="765"/>
      <c r="H36" s="765"/>
    </row>
    <row r="37" spans="1:8" x14ac:dyDescent="0.2">
      <c r="A37" s="734" t="s">
        <v>5442</v>
      </c>
    </row>
    <row r="38" spans="1:8" x14ac:dyDescent="0.2">
      <c r="A38" s="713" t="s">
        <v>610</v>
      </c>
      <c r="B38" s="713" t="s">
        <v>785</v>
      </c>
      <c r="C38" s="713" t="s">
        <v>5443</v>
      </c>
      <c r="D38" s="713" t="s">
        <v>5444</v>
      </c>
      <c r="E38" s="713" t="s">
        <v>5445</v>
      </c>
      <c r="F38" s="713" t="s">
        <v>5446</v>
      </c>
      <c r="G38" s="713" t="s">
        <v>5447</v>
      </c>
      <c r="H38" s="713" t="s">
        <v>3227</v>
      </c>
    </row>
    <row r="39" spans="1:8" x14ac:dyDescent="0.2">
      <c r="A39">
        <v>0</v>
      </c>
      <c r="B39" t="s">
        <v>5448</v>
      </c>
      <c r="C39" t="s">
        <v>3999</v>
      </c>
      <c r="D39" t="s">
        <v>3999</v>
      </c>
      <c r="E39">
        <f>$B$10</f>
        <v>0.45</v>
      </c>
      <c r="F39" s="481">
        <f>($B$11/(2*PI()))*SQRT(E39/($B$6*($B$7+0.6*SQRT(E39/PI()))))</f>
        <v>405.58948781661098</v>
      </c>
      <c r="G39" s="481">
        <v>440</v>
      </c>
      <c r="H39" t="s">
        <v>3999</v>
      </c>
    </row>
    <row r="40" spans="1:8" x14ac:dyDescent="0.2">
      <c r="A40">
        <v>1</v>
      </c>
      <c r="B40" t="s">
        <v>30</v>
      </c>
      <c r="C40" s="565">
        <v>5</v>
      </c>
      <c r="D40" s="482">
        <f>PI()*(C40/20)^2</f>
        <v>0.19634954084936207</v>
      </c>
      <c r="E40" s="482">
        <f>E39+D40</f>
        <v>0.64634954084936203</v>
      </c>
      <c r="F40" s="481">
        <f>($B$11/(2*PI()))*SQRT(E40/($B$6*($B$7+0.6*SQRT(E40/PI()))))</f>
        <v>469.50784433467771</v>
      </c>
      <c r="G40" s="481">
        <v>466.2</v>
      </c>
      <c r="H40" t="s">
        <v>5449</v>
      </c>
    </row>
    <row r="41" spans="1:8" x14ac:dyDescent="0.2">
      <c r="A41">
        <v>2</v>
      </c>
      <c r="B41" t="s">
        <v>31</v>
      </c>
      <c r="C41" s="565">
        <v>5.5</v>
      </c>
      <c r="D41" s="482">
        <f>PI()*(C41/20)^2</f>
        <v>0.23758294442772815</v>
      </c>
      <c r="E41" s="482">
        <f>E40+D41</f>
        <v>0.88393248527709023</v>
      </c>
      <c r="F41" s="481">
        <f>($B$11/(2*PI()))*SQRT(E41/($B$6*($B$7+0.6*SQRT(E41/PI()))))</f>
        <v>531.14174959083562</v>
      </c>
      <c r="G41" s="481">
        <v>493.9</v>
      </c>
      <c r="H41" t="s">
        <v>5450</v>
      </c>
    </row>
    <row r="42" spans="1:8" x14ac:dyDescent="0.2">
      <c r="A42">
        <v>3</v>
      </c>
      <c r="B42" t="s">
        <v>32</v>
      </c>
      <c r="C42" s="565">
        <v>6</v>
      </c>
      <c r="D42" s="482">
        <f t="shared" ref="D42:D51" si="0">PI()*(C42/20)^2</f>
        <v>0.28274333882308139</v>
      </c>
      <c r="E42" s="482">
        <f t="shared" ref="E42:E51" si="1">E41+D42</f>
        <v>1.1666758241001716</v>
      </c>
      <c r="F42" s="481">
        <f t="shared" ref="F42:F51" si="2">($B$11/(2*PI()))*SQRT(E42/($B$6*($B$7+0.6*SQRT(E42/PI()))))</f>
        <v>591.02508424967016</v>
      </c>
      <c r="G42" s="481">
        <v>523.29999999999995</v>
      </c>
      <c r="H42" t="s">
        <v>5451</v>
      </c>
    </row>
    <row r="43" spans="1:8" x14ac:dyDescent="0.2">
      <c r="A43">
        <v>4</v>
      </c>
      <c r="B43" t="s">
        <v>1288</v>
      </c>
      <c r="C43" s="565">
        <v>6</v>
      </c>
      <c r="D43" s="482">
        <f t="shared" si="0"/>
        <v>0.28274333882308139</v>
      </c>
      <c r="E43" s="482">
        <f t="shared" si="1"/>
        <v>1.4494191629232529</v>
      </c>
      <c r="F43" s="481">
        <f t="shared" si="2"/>
        <v>641.44109154767102</v>
      </c>
      <c r="G43" s="481">
        <v>554.4</v>
      </c>
      <c r="H43" t="s">
        <v>5452</v>
      </c>
    </row>
    <row r="44" spans="1:8" x14ac:dyDescent="0.2">
      <c r="A44">
        <v>5</v>
      </c>
      <c r="B44" t="s">
        <v>34</v>
      </c>
      <c r="C44" s="565">
        <v>6.5</v>
      </c>
      <c r="D44" s="482">
        <f t="shared" si="0"/>
        <v>0.33183072403542191</v>
      </c>
      <c r="E44" s="482">
        <f t="shared" si="1"/>
        <v>1.7812498869586748</v>
      </c>
      <c r="F44" s="481">
        <f t="shared" si="2"/>
        <v>692.36988269819892</v>
      </c>
      <c r="G44" s="481">
        <v>587.29999999999995</v>
      </c>
      <c r="H44" t="s">
        <v>5453</v>
      </c>
    </row>
    <row r="45" spans="1:8" x14ac:dyDescent="0.2">
      <c r="A45">
        <v>6</v>
      </c>
      <c r="B45" t="s">
        <v>1289</v>
      </c>
      <c r="C45" s="565">
        <v>6.5</v>
      </c>
      <c r="D45" s="482">
        <f t="shared" si="0"/>
        <v>0.33183072403542191</v>
      </c>
      <c r="E45" s="482">
        <f t="shared" si="1"/>
        <v>2.1130806109940967</v>
      </c>
      <c r="F45" s="481">
        <f t="shared" si="2"/>
        <v>736.88392711957215</v>
      </c>
      <c r="G45" s="481">
        <v>622.29999999999995</v>
      </c>
      <c r="H45" t="s">
        <v>5454</v>
      </c>
    </row>
    <row r="46" spans="1:8" x14ac:dyDescent="0.2">
      <c r="A46">
        <v>7</v>
      </c>
      <c r="B46" t="s">
        <v>36</v>
      </c>
      <c r="C46" s="565">
        <v>7</v>
      </c>
      <c r="D46" s="482">
        <f t="shared" si="0"/>
        <v>0.38484510006474959</v>
      </c>
      <c r="E46" s="482">
        <f t="shared" si="1"/>
        <v>2.4979257110588464</v>
      </c>
      <c r="F46" s="481">
        <f t="shared" si="2"/>
        <v>782.56967137615152</v>
      </c>
      <c r="G46" s="481">
        <v>659.3</v>
      </c>
      <c r="H46" t="s">
        <v>5455</v>
      </c>
    </row>
    <row r="47" spans="1:8" x14ac:dyDescent="0.2">
      <c r="A47">
        <v>8</v>
      </c>
      <c r="B47" t="s">
        <v>37</v>
      </c>
      <c r="C47" s="565">
        <v>7</v>
      </c>
      <c r="D47" s="482">
        <f t="shared" si="0"/>
        <v>0.38484510006474959</v>
      </c>
      <c r="E47" s="482">
        <f t="shared" si="1"/>
        <v>2.8827708111235961</v>
      </c>
      <c r="F47" s="481">
        <f t="shared" si="2"/>
        <v>823.37998608405655</v>
      </c>
      <c r="G47" s="481">
        <v>698.5</v>
      </c>
      <c r="H47" t="s">
        <v>5456</v>
      </c>
    </row>
    <row r="48" spans="1:8" x14ac:dyDescent="0.2">
      <c r="A48">
        <v>9</v>
      </c>
      <c r="B48" t="s">
        <v>1290</v>
      </c>
      <c r="C48" s="565">
        <v>7.5</v>
      </c>
      <c r="D48" s="482">
        <f t="shared" si="0"/>
        <v>0.44178646691106466</v>
      </c>
      <c r="E48" s="482">
        <f t="shared" si="1"/>
        <v>3.3245572780346606</v>
      </c>
      <c r="F48" s="481">
        <f t="shared" si="2"/>
        <v>865.56773472437089</v>
      </c>
      <c r="G48" s="481">
        <v>740</v>
      </c>
      <c r="H48" t="s">
        <v>5457</v>
      </c>
    </row>
    <row r="49" spans="1:8" x14ac:dyDescent="0.2">
      <c r="A49">
        <v>10</v>
      </c>
      <c r="B49" t="s">
        <v>42</v>
      </c>
      <c r="C49" s="565">
        <v>8</v>
      </c>
      <c r="D49" s="482">
        <f t="shared" si="0"/>
        <v>0.50265482457436694</v>
      </c>
      <c r="E49" s="482">
        <f t="shared" si="1"/>
        <v>3.8272121026090273</v>
      </c>
      <c r="F49" s="481">
        <f t="shared" si="2"/>
        <v>908.80736708348718</v>
      </c>
      <c r="G49" s="481">
        <v>784</v>
      </c>
      <c r="H49" t="s">
        <v>5458</v>
      </c>
    </row>
    <row r="50" spans="1:8" x14ac:dyDescent="0.2">
      <c r="A50">
        <v>11</v>
      </c>
      <c r="B50" t="s">
        <v>1291</v>
      </c>
      <c r="C50" s="565">
        <v>8.5</v>
      </c>
      <c r="D50" s="482">
        <f t="shared" si="0"/>
        <v>0.56745017305465628</v>
      </c>
      <c r="E50" s="482">
        <f t="shared" si="1"/>
        <v>4.3946622756636833</v>
      </c>
      <c r="F50" s="481">
        <f t="shared" si="2"/>
        <v>952.8267984841483</v>
      </c>
      <c r="G50" s="481">
        <v>830.6</v>
      </c>
      <c r="H50" t="s">
        <v>5459</v>
      </c>
    </row>
    <row r="51" spans="1:8" x14ac:dyDescent="0.2">
      <c r="A51">
        <v>12</v>
      </c>
      <c r="B51" t="s">
        <v>5460</v>
      </c>
      <c r="C51" s="565">
        <v>9</v>
      </c>
      <c r="D51" s="482">
        <f t="shared" si="0"/>
        <v>0.63617251235193317</v>
      </c>
      <c r="E51" s="482">
        <f t="shared" si="1"/>
        <v>5.0308347880156168</v>
      </c>
      <c r="F51" s="481">
        <f t="shared" si="2"/>
        <v>997.40208441587538</v>
      </c>
      <c r="G51" s="481">
        <v>880</v>
      </c>
      <c r="H51" t="s">
        <v>5461</v>
      </c>
    </row>
    <row r="53" spans="1:8" ht="15" x14ac:dyDescent="0.25">
      <c r="A53" s="747" t="s">
        <v>5462</v>
      </c>
      <c r="B53" s="748"/>
      <c r="C53" s="748"/>
      <c r="D53" s="748"/>
      <c r="E53" s="748"/>
      <c r="F53" s="748"/>
    </row>
    <row r="54" spans="1:8" x14ac:dyDescent="0.2">
      <c r="A54" s="768" t="s">
        <v>610</v>
      </c>
      <c r="B54" s="768" t="s">
        <v>1623</v>
      </c>
      <c r="C54" s="768" t="s">
        <v>1624</v>
      </c>
      <c r="D54" s="768" t="s">
        <v>5463</v>
      </c>
      <c r="E54" s="768" t="s">
        <v>5464</v>
      </c>
    </row>
    <row r="55" spans="1:8" x14ac:dyDescent="0.2">
      <c r="A55">
        <v>1</v>
      </c>
      <c r="B55" t="s">
        <v>1855</v>
      </c>
      <c r="C55" t="s">
        <v>5465</v>
      </c>
      <c r="D55" t="s">
        <v>5466</v>
      </c>
      <c r="E55" t="s">
        <v>5467</v>
      </c>
    </row>
    <row r="56" spans="1:8" x14ac:dyDescent="0.2">
      <c r="A56">
        <v>2</v>
      </c>
      <c r="B56" t="s">
        <v>5468</v>
      </c>
      <c r="C56" t="s">
        <v>5469</v>
      </c>
      <c r="D56" t="s">
        <v>5470</v>
      </c>
      <c r="E56" t="s">
        <v>5471</v>
      </c>
    </row>
    <row r="57" spans="1:8" x14ac:dyDescent="0.2">
      <c r="A57">
        <v>3</v>
      </c>
      <c r="B57" t="s">
        <v>5472</v>
      </c>
      <c r="C57" t="s">
        <v>5473</v>
      </c>
      <c r="D57" t="s">
        <v>5474</v>
      </c>
      <c r="E57" t="s">
        <v>5475</v>
      </c>
    </row>
    <row r="58" spans="1:8" x14ac:dyDescent="0.2">
      <c r="A58">
        <v>4</v>
      </c>
      <c r="B58" t="s">
        <v>5476</v>
      </c>
      <c r="C58" t="s">
        <v>5477</v>
      </c>
      <c r="D58" t="s">
        <v>5478</v>
      </c>
      <c r="E58" t="s">
        <v>5479</v>
      </c>
    </row>
    <row r="59" spans="1:8" x14ac:dyDescent="0.2">
      <c r="A59">
        <v>5</v>
      </c>
      <c r="B59" t="s">
        <v>5480</v>
      </c>
      <c r="C59" t="s">
        <v>5481</v>
      </c>
      <c r="D59" t="s">
        <v>5482</v>
      </c>
      <c r="E59" t="s">
        <v>5483</v>
      </c>
    </row>
    <row r="60" spans="1:8" x14ac:dyDescent="0.2">
      <c r="A60">
        <v>6</v>
      </c>
      <c r="B60" t="s">
        <v>5412</v>
      </c>
      <c r="C60" t="s">
        <v>5484</v>
      </c>
      <c r="D60" t="s">
        <v>5485</v>
      </c>
      <c r="E60" t="s">
        <v>5486</v>
      </c>
    </row>
    <row r="61" spans="1:8" x14ac:dyDescent="0.2">
      <c r="A61">
        <v>7</v>
      </c>
      <c r="B61" t="s">
        <v>5487</v>
      </c>
      <c r="C61" t="s">
        <v>5488</v>
      </c>
      <c r="D61" t="s">
        <v>5489</v>
      </c>
      <c r="E61" t="s">
        <v>5490</v>
      </c>
    </row>
    <row r="62" spans="1:8" x14ac:dyDescent="0.2">
      <c r="A62">
        <v>8</v>
      </c>
      <c r="B62" t="s">
        <v>5491</v>
      </c>
      <c r="C62" t="s">
        <v>5492</v>
      </c>
      <c r="D62" t="s">
        <v>5493</v>
      </c>
      <c r="E62" t="s">
        <v>5494</v>
      </c>
    </row>
    <row r="63" spans="1:8" x14ac:dyDescent="0.2">
      <c r="A63">
        <v>9</v>
      </c>
      <c r="B63" t="s">
        <v>4962</v>
      </c>
      <c r="C63" t="s">
        <v>5495</v>
      </c>
      <c r="D63" t="s">
        <v>5496</v>
      </c>
      <c r="E63" t="s">
        <v>5497</v>
      </c>
    </row>
    <row r="64" spans="1:8" x14ac:dyDescent="0.2">
      <c r="A64">
        <v>10</v>
      </c>
      <c r="B64" t="s">
        <v>5498</v>
      </c>
      <c r="C64" t="s">
        <v>5499</v>
      </c>
      <c r="D64" t="s">
        <v>5500</v>
      </c>
      <c r="E64" t="s">
        <v>5501</v>
      </c>
    </row>
    <row r="65" spans="1:6" x14ac:dyDescent="0.2">
      <c r="A65">
        <v>11</v>
      </c>
      <c r="B65" t="s">
        <v>5502</v>
      </c>
      <c r="C65" t="s">
        <v>5503</v>
      </c>
      <c r="D65" t="s">
        <v>5493</v>
      </c>
      <c r="E65" t="s">
        <v>5504</v>
      </c>
    </row>
    <row r="66" spans="1:6" x14ac:dyDescent="0.2">
      <c r="A66">
        <v>12</v>
      </c>
      <c r="B66" t="s">
        <v>4619</v>
      </c>
      <c r="C66" t="s">
        <v>5505</v>
      </c>
      <c r="D66" t="s">
        <v>5506</v>
      </c>
      <c r="E66" t="s">
        <v>5507</v>
      </c>
    </row>
    <row r="68" spans="1:6" ht="15" x14ac:dyDescent="0.25">
      <c r="A68" s="735" t="s">
        <v>1543</v>
      </c>
      <c r="B68" s="736"/>
      <c r="C68" s="736"/>
      <c r="D68" s="736"/>
      <c r="E68" s="736"/>
      <c r="F68" s="736"/>
    </row>
    <row r="69" spans="1:6" x14ac:dyDescent="0.2">
      <c r="A69" s="475" t="s">
        <v>610</v>
      </c>
      <c r="B69" s="475" t="s">
        <v>1545</v>
      </c>
      <c r="C69" s="475" t="s">
        <v>1546</v>
      </c>
      <c r="D69" s="475" t="s">
        <v>4543</v>
      </c>
      <c r="E69" s="475" t="s">
        <v>2</v>
      </c>
      <c r="F69" s="475" t="s">
        <v>1549</v>
      </c>
    </row>
    <row r="70" spans="1:6" x14ac:dyDescent="0.2">
      <c r="A70">
        <v>1</v>
      </c>
      <c r="B70" t="s">
        <v>5508</v>
      </c>
      <c r="C70" t="s">
        <v>5509</v>
      </c>
      <c r="D70" t="s">
        <v>5510</v>
      </c>
      <c r="E70" t="s">
        <v>5511</v>
      </c>
      <c r="F70" t="s">
        <v>5512</v>
      </c>
    </row>
    <row r="71" spans="1:6" x14ac:dyDescent="0.2">
      <c r="A71">
        <v>2</v>
      </c>
      <c r="B71" t="s">
        <v>5513</v>
      </c>
      <c r="C71" t="s">
        <v>5514</v>
      </c>
      <c r="D71" t="s">
        <v>5515</v>
      </c>
      <c r="E71" t="s">
        <v>5516</v>
      </c>
      <c r="F71" t="s">
        <v>4572</v>
      </c>
    </row>
    <row r="72" spans="1:6" x14ac:dyDescent="0.2">
      <c r="A72">
        <v>3</v>
      </c>
      <c r="B72" t="s">
        <v>5517</v>
      </c>
      <c r="C72" t="s">
        <v>5518</v>
      </c>
      <c r="D72" t="s">
        <v>5519</v>
      </c>
      <c r="E72" t="s">
        <v>5520</v>
      </c>
      <c r="F72" t="s">
        <v>5521</v>
      </c>
    </row>
    <row r="73" spans="1:6" x14ac:dyDescent="0.2">
      <c r="A73">
        <v>4</v>
      </c>
      <c r="B73" t="s">
        <v>5522</v>
      </c>
      <c r="C73" t="s">
        <v>5523</v>
      </c>
      <c r="D73" t="s">
        <v>5524</v>
      </c>
      <c r="E73" t="s">
        <v>5525</v>
      </c>
      <c r="F73" t="s">
        <v>4247</v>
      </c>
    </row>
    <row r="74" spans="1:6" x14ac:dyDescent="0.2">
      <c r="A74">
        <v>5</v>
      </c>
      <c r="B74" t="s">
        <v>5526</v>
      </c>
      <c r="C74" t="s">
        <v>2953</v>
      </c>
      <c r="D74" t="s">
        <v>5527</v>
      </c>
      <c r="E74" t="s">
        <v>5528</v>
      </c>
      <c r="F74" t="s">
        <v>4093</v>
      </c>
    </row>
    <row r="75" spans="1:6" x14ac:dyDescent="0.2">
      <c r="A75">
        <v>6</v>
      </c>
      <c r="B75" t="s">
        <v>1324</v>
      </c>
      <c r="C75">
        <v>1</v>
      </c>
      <c r="D75" t="s">
        <v>5529</v>
      </c>
      <c r="E75" t="s">
        <v>5530</v>
      </c>
      <c r="F75" t="s">
        <v>4254</v>
      </c>
    </row>
    <row r="76" spans="1:6" x14ac:dyDescent="0.2">
      <c r="A76">
        <v>7</v>
      </c>
      <c r="B76" t="s">
        <v>5531</v>
      </c>
      <c r="C76">
        <v>1</v>
      </c>
      <c r="D76" t="s">
        <v>5532</v>
      </c>
      <c r="E76" t="s">
        <v>5533</v>
      </c>
      <c r="F76" t="s">
        <v>4263</v>
      </c>
    </row>
    <row r="77" spans="1:6" x14ac:dyDescent="0.2">
      <c r="A77">
        <v>8</v>
      </c>
      <c r="B77" t="s">
        <v>5534</v>
      </c>
      <c r="C77" t="s">
        <v>5535</v>
      </c>
      <c r="D77" t="s">
        <v>5536</v>
      </c>
      <c r="E77" t="s">
        <v>5537</v>
      </c>
      <c r="F77" t="s">
        <v>5538</v>
      </c>
    </row>
    <row r="78" spans="1:6" x14ac:dyDescent="0.2">
      <c r="B78" s="472" t="s">
        <v>5539</v>
      </c>
      <c r="F78" s="472" t="s">
        <v>5540</v>
      </c>
    </row>
    <row r="79" spans="1:6" x14ac:dyDescent="0.2">
      <c r="B79" t="s">
        <v>5541</v>
      </c>
      <c r="C79" t="s">
        <v>5543</v>
      </c>
      <c r="F79" s="472" t="s">
        <v>5542</v>
      </c>
    </row>
    <row r="81" spans="1:5" ht="15" x14ac:dyDescent="0.25">
      <c r="A81" s="751" t="s">
        <v>1532</v>
      </c>
      <c r="B81" s="752"/>
      <c r="C81" s="752"/>
      <c r="D81" s="752"/>
      <c r="E81" s="752"/>
    </row>
    <row r="82" spans="1:5" x14ac:dyDescent="0.2">
      <c r="A82" t="s">
        <v>5544</v>
      </c>
    </row>
    <row r="83" spans="1:5" x14ac:dyDescent="0.2">
      <c r="A83" t="s">
        <v>5545</v>
      </c>
    </row>
    <row r="84" spans="1:5" x14ac:dyDescent="0.2">
      <c r="A84" t="s">
        <v>5546</v>
      </c>
    </row>
    <row r="85" spans="1:5" x14ac:dyDescent="0.2">
      <c r="A85" t="s">
        <v>5547</v>
      </c>
    </row>
    <row r="86" spans="1:5" x14ac:dyDescent="0.2">
      <c r="A86" t="s">
        <v>5548</v>
      </c>
    </row>
    <row r="87" spans="1:5" x14ac:dyDescent="0.2">
      <c r="A87" t="s">
        <v>5549</v>
      </c>
    </row>
    <row r="88" spans="1:5" x14ac:dyDescent="0.2">
      <c r="A88" t="s">
        <v>5550</v>
      </c>
    </row>
    <row r="89" spans="1:5" x14ac:dyDescent="0.2">
      <c r="A89" t="s">
        <v>5551</v>
      </c>
    </row>
    <row r="90" spans="1:5" x14ac:dyDescent="0.2">
      <c r="A90" t="s">
        <v>5552</v>
      </c>
    </row>
    <row r="91" spans="1:5" x14ac:dyDescent="0.2">
      <c r="A91" t="s">
        <v>5553</v>
      </c>
    </row>
    <row r="94" spans="1:5" ht="18" x14ac:dyDescent="0.25">
      <c r="A94" s="833" t="s">
        <v>7001</v>
      </c>
    </row>
    <row r="95" spans="1:5" x14ac:dyDescent="0.2">
      <c r="A95" s="734" t="s">
        <v>7002</v>
      </c>
    </row>
    <row r="97" spans="1:1" x14ac:dyDescent="0.2">
      <c r="A97" s="609" t="s">
        <v>6355</v>
      </c>
    </row>
    <row r="98" spans="1:1" x14ac:dyDescent="0.2">
      <c r="A98" t="s">
        <v>7003</v>
      </c>
    </row>
    <row r="99" spans="1:1" x14ac:dyDescent="0.2">
      <c r="A99" s="759" t="s">
        <v>7004</v>
      </c>
    </row>
    <row r="100" spans="1:1" x14ac:dyDescent="0.2">
      <c r="A100" t="s">
        <v>7005</v>
      </c>
    </row>
    <row r="102" spans="1:1" x14ac:dyDescent="0.2">
      <c r="A102" s="609" t="s">
        <v>6359</v>
      </c>
    </row>
    <row r="103" spans="1:1" x14ac:dyDescent="0.2">
      <c r="A103" t="s">
        <v>7006</v>
      </c>
    </row>
    <row r="104" spans="1:1" x14ac:dyDescent="0.2">
      <c r="A104" t="s">
        <v>7007</v>
      </c>
    </row>
    <row r="105" spans="1:1" x14ac:dyDescent="0.2">
      <c r="A105" t="s">
        <v>7008</v>
      </c>
    </row>
    <row r="107" spans="1:1" x14ac:dyDescent="0.2">
      <c r="A107" s="609" t="s">
        <v>6654</v>
      </c>
    </row>
    <row r="108" spans="1:1" x14ac:dyDescent="0.2">
      <c r="A108" t="s">
        <v>7009</v>
      </c>
    </row>
    <row r="109" spans="1:1" x14ac:dyDescent="0.2">
      <c r="A109" t="s">
        <v>7010</v>
      </c>
    </row>
    <row r="110" spans="1:1" x14ac:dyDescent="0.2">
      <c r="A110" t="s">
        <v>7011</v>
      </c>
    </row>
    <row r="112" spans="1:1" x14ac:dyDescent="0.2">
      <c r="A112" s="609" t="s">
        <v>6658</v>
      </c>
    </row>
    <row r="113" spans="1:1" x14ac:dyDescent="0.2">
      <c r="A113" t="s">
        <v>7012</v>
      </c>
    </row>
    <row r="114" spans="1:1" x14ac:dyDescent="0.2">
      <c r="A114" t="s">
        <v>7013</v>
      </c>
    </row>
    <row r="116" spans="1:1" x14ac:dyDescent="0.2">
      <c r="A116" s="609" t="s">
        <v>6661</v>
      </c>
    </row>
    <row r="117" spans="1:1" x14ac:dyDescent="0.2">
      <c r="A117" t="s">
        <v>7014</v>
      </c>
    </row>
    <row r="118" spans="1:1" x14ac:dyDescent="0.2">
      <c r="A118" t="s">
        <v>7015</v>
      </c>
    </row>
    <row r="119" spans="1:1" x14ac:dyDescent="0.2">
      <c r="A119" t="s">
        <v>7016</v>
      </c>
    </row>
    <row r="121" spans="1:1" x14ac:dyDescent="0.2">
      <c r="A121" s="609" t="s">
        <v>6682</v>
      </c>
    </row>
    <row r="122" spans="1:1" x14ac:dyDescent="0.2">
      <c r="A122" t="s">
        <v>7017</v>
      </c>
    </row>
    <row r="126" spans="1:1" ht="18" x14ac:dyDescent="0.25">
      <c r="A126" s="838" t="s">
        <v>7410</v>
      </c>
    </row>
    <row r="127" spans="1:1" x14ac:dyDescent="0.2">
      <c r="A127" s="734" t="s">
        <v>7246</v>
      </c>
    </row>
    <row r="129" spans="1:1" x14ac:dyDescent="0.2">
      <c r="A129" s="839" t="s">
        <v>7411</v>
      </c>
    </row>
    <row r="130" spans="1:1" x14ac:dyDescent="0.2">
      <c r="A130" s="842" t="s">
        <v>7384</v>
      </c>
    </row>
    <row r="131" spans="1:1" x14ac:dyDescent="0.2">
      <c r="A131" t="s">
        <v>7412</v>
      </c>
    </row>
    <row r="132" spans="1:1" x14ac:dyDescent="0.2">
      <c r="A132" t="s">
        <v>7413</v>
      </c>
    </row>
    <row r="134" spans="1:1" x14ac:dyDescent="0.2">
      <c r="A134" s="839" t="s">
        <v>7366</v>
      </c>
    </row>
    <row r="135" spans="1:1" x14ac:dyDescent="0.2">
      <c r="A135" s="842" t="s">
        <v>7414</v>
      </c>
    </row>
    <row r="136" spans="1:1" x14ac:dyDescent="0.2">
      <c r="A136" t="s">
        <v>7415</v>
      </c>
    </row>
    <row r="137" spans="1:1" x14ac:dyDescent="0.2">
      <c r="A137" t="s">
        <v>7416</v>
      </c>
    </row>
    <row r="139" spans="1:1" x14ac:dyDescent="0.2">
      <c r="A139" s="839" t="s">
        <v>7297</v>
      </c>
    </row>
    <row r="140" spans="1:1" x14ac:dyDescent="0.2">
      <c r="A140" s="842" t="s">
        <v>7417</v>
      </c>
    </row>
    <row r="141" spans="1:1" x14ac:dyDescent="0.2">
      <c r="A141" t="s">
        <v>7418</v>
      </c>
    </row>
  </sheetData>
  <pageMargins left="0.7" right="0.7" top="0.75" bottom="0.75" header="0.3" footer="0.3"/>
  <legacy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AD767-8AE3-49CF-B20C-32411D15A72A}">
  <dimension ref="A1:E118"/>
  <sheetViews>
    <sheetView workbookViewId="0">
      <pane ySplit="3" topLeftCell="A4" activePane="bottomLeft" state="frozen"/>
      <selection pane="bottomLeft"/>
    </sheetView>
  </sheetViews>
  <sheetFormatPr defaultRowHeight="12.75" x14ac:dyDescent="0.2"/>
  <cols>
    <col min="1" max="1" width="137.140625" customWidth="1"/>
    <col min="2" max="2" width="47.5703125" customWidth="1"/>
    <col min="3" max="3" width="34.28515625" customWidth="1"/>
    <col min="4" max="4" width="41.85546875" customWidth="1"/>
    <col min="5" max="5" width="19" customWidth="1"/>
  </cols>
  <sheetData>
    <row r="1" spans="1:4" ht="18" x14ac:dyDescent="0.25">
      <c r="A1" s="470" t="s">
        <v>5554</v>
      </c>
    </row>
    <row r="2" spans="1:4" x14ac:dyDescent="0.2">
      <c r="A2" s="734" t="s">
        <v>5555</v>
      </c>
    </row>
    <row r="4" spans="1:4" ht="15" x14ac:dyDescent="0.25">
      <c r="A4" s="735" t="s">
        <v>1443</v>
      </c>
      <c r="B4" s="736"/>
      <c r="C4" s="736"/>
      <c r="D4" s="736"/>
    </row>
    <row r="5" spans="1:4" x14ac:dyDescent="0.2">
      <c r="A5" t="s">
        <v>5556</v>
      </c>
      <c r="B5" s="564" t="s">
        <v>5557</v>
      </c>
      <c r="C5" t="s">
        <v>5558</v>
      </c>
    </row>
    <row r="6" spans="1:4" x14ac:dyDescent="0.2">
      <c r="A6" t="s">
        <v>1125</v>
      </c>
      <c r="B6" s="737">
        <v>14</v>
      </c>
      <c r="C6" t="s">
        <v>5559</v>
      </c>
    </row>
    <row r="7" spans="1:4" x14ac:dyDescent="0.2">
      <c r="A7" t="s">
        <v>3525</v>
      </c>
      <c r="B7" s="737">
        <v>8</v>
      </c>
      <c r="C7" t="s">
        <v>5560</v>
      </c>
    </row>
    <row r="8" spans="1:4" x14ac:dyDescent="0.2">
      <c r="A8" t="s">
        <v>5561</v>
      </c>
      <c r="B8" s="565">
        <v>1.5</v>
      </c>
      <c r="C8" t="s">
        <v>5562</v>
      </c>
    </row>
    <row r="9" spans="1:4" x14ac:dyDescent="0.2">
      <c r="A9" t="s">
        <v>5563</v>
      </c>
      <c r="B9" s="715">
        <v>0.25</v>
      </c>
      <c r="C9" t="s">
        <v>5564</v>
      </c>
    </row>
    <row r="10" spans="1:4" x14ac:dyDescent="0.2">
      <c r="A10" t="s">
        <v>5401</v>
      </c>
      <c r="B10" s="564" t="s">
        <v>5565</v>
      </c>
      <c r="C10" t="s">
        <v>5566</v>
      </c>
    </row>
    <row r="11" spans="1:4" x14ac:dyDescent="0.2">
      <c r="A11" t="s">
        <v>5567</v>
      </c>
      <c r="B11" s="737">
        <v>13</v>
      </c>
      <c r="C11" t="s">
        <v>5568</v>
      </c>
    </row>
    <row r="12" spans="1:4" x14ac:dyDescent="0.2">
      <c r="A12" t="s">
        <v>2266</v>
      </c>
      <c r="B12" s="565">
        <v>13</v>
      </c>
      <c r="C12" t="s">
        <v>5569</v>
      </c>
    </row>
    <row r="13" spans="1:4" x14ac:dyDescent="0.2">
      <c r="A13" t="s">
        <v>2410</v>
      </c>
      <c r="B13" s="564" t="s">
        <v>5570</v>
      </c>
    </row>
    <row r="14" spans="1:4" x14ac:dyDescent="0.2">
      <c r="A14" t="s">
        <v>5571</v>
      </c>
      <c r="B14" s="564" t="s">
        <v>5572</v>
      </c>
      <c r="C14" t="s">
        <v>5573</v>
      </c>
    </row>
    <row r="15" spans="1:4" x14ac:dyDescent="0.2">
      <c r="A15" t="s">
        <v>1803</v>
      </c>
      <c r="B15" s="564" t="s">
        <v>5574</v>
      </c>
    </row>
    <row r="16" spans="1:4" x14ac:dyDescent="0.2">
      <c r="A16" t="s">
        <v>2315</v>
      </c>
      <c r="B16" s="564" t="s">
        <v>5575</v>
      </c>
    </row>
    <row r="17" spans="1:5" x14ac:dyDescent="0.2">
      <c r="A17" t="s">
        <v>3257</v>
      </c>
      <c r="B17" s="564" t="s">
        <v>5576</v>
      </c>
    </row>
    <row r="19" spans="1:5" ht="15" x14ac:dyDescent="0.25">
      <c r="A19" s="738" t="s">
        <v>5577</v>
      </c>
      <c r="B19" s="739"/>
      <c r="C19" s="739"/>
      <c r="D19" s="739"/>
      <c r="E19" s="739"/>
    </row>
    <row r="20" spans="1:5" x14ac:dyDescent="0.2">
      <c r="A20" s="484" t="s">
        <v>5578</v>
      </c>
      <c r="B20" s="480" t="s">
        <v>3090</v>
      </c>
      <c r="C20" s="484" t="s">
        <v>4413</v>
      </c>
      <c r="D20" s="484" t="s">
        <v>4436</v>
      </c>
      <c r="E20" s="484" t="s">
        <v>5579</v>
      </c>
    </row>
    <row r="21" spans="1:5" x14ac:dyDescent="0.2">
      <c r="A21" t="s">
        <v>5580</v>
      </c>
      <c r="B21" t="s">
        <v>5581</v>
      </c>
      <c r="C21" t="s">
        <v>1257</v>
      </c>
      <c r="D21" t="s">
        <v>1250</v>
      </c>
      <c r="E21" t="s">
        <v>5582</v>
      </c>
    </row>
    <row r="22" spans="1:5" x14ac:dyDescent="0.2">
      <c r="A22" t="s">
        <v>5583</v>
      </c>
      <c r="B22" t="s">
        <v>5584</v>
      </c>
      <c r="C22" t="s">
        <v>1254</v>
      </c>
      <c r="D22" t="s">
        <v>1250</v>
      </c>
      <c r="E22" t="s">
        <v>5585</v>
      </c>
    </row>
    <row r="23" spans="1:5" x14ac:dyDescent="0.2">
      <c r="A23" t="s">
        <v>5586</v>
      </c>
      <c r="B23" t="s">
        <v>5587</v>
      </c>
      <c r="C23" t="s">
        <v>1250</v>
      </c>
      <c r="D23" t="s">
        <v>1250</v>
      </c>
      <c r="E23" t="s">
        <v>2893</v>
      </c>
    </row>
    <row r="24" spans="1:5" x14ac:dyDescent="0.2">
      <c r="A24" t="s">
        <v>5588</v>
      </c>
      <c r="B24" t="s">
        <v>5589</v>
      </c>
      <c r="C24" t="s">
        <v>1257</v>
      </c>
      <c r="D24" t="s">
        <v>1254</v>
      </c>
      <c r="E24" t="s">
        <v>5585</v>
      </c>
    </row>
    <row r="26" spans="1:5" ht="15" x14ac:dyDescent="0.25">
      <c r="A26" s="764" t="s">
        <v>5590</v>
      </c>
      <c r="B26" s="765"/>
      <c r="C26" s="765"/>
      <c r="D26" s="765"/>
    </row>
    <row r="27" spans="1:5" x14ac:dyDescent="0.2">
      <c r="A27" s="713" t="s">
        <v>5591</v>
      </c>
      <c r="B27" s="713" t="s">
        <v>5592</v>
      </c>
      <c r="C27" s="713" t="s">
        <v>5593</v>
      </c>
    </row>
    <row r="28" spans="1:5" x14ac:dyDescent="0.2">
      <c r="A28" t="s">
        <v>5594</v>
      </c>
      <c r="B28" t="s">
        <v>5595</v>
      </c>
      <c r="C28" t="s">
        <v>5596</v>
      </c>
    </row>
    <row r="29" spans="1:5" x14ac:dyDescent="0.2">
      <c r="A29" t="s">
        <v>5597</v>
      </c>
      <c r="B29" t="s">
        <v>5598</v>
      </c>
      <c r="C29" t="s">
        <v>5599</v>
      </c>
    </row>
    <row r="30" spans="1:5" x14ac:dyDescent="0.2">
      <c r="A30" t="s">
        <v>5600</v>
      </c>
      <c r="B30" t="s">
        <v>5601</v>
      </c>
      <c r="C30" t="s">
        <v>5602</v>
      </c>
    </row>
    <row r="31" spans="1:5" x14ac:dyDescent="0.2">
      <c r="A31" t="s">
        <v>5603</v>
      </c>
      <c r="B31" t="s">
        <v>5604</v>
      </c>
      <c r="C31" t="s">
        <v>5605</v>
      </c>
    </row>
    <row r="32" spans="1:5" x14ac:dyDescent="0.2">
      <c r="A32" t="s">
        <v>5606</v>
      </c>
      <c r="B32" t="s">
        <v>5607</v>
      </c>
      <c r="C32" t="s">
        <v>5608</v>
      </c>
    </row>
    <row r="33" spans="1:5" x14ac:dyDescent="0.2">
      <c r="A33" t="s">
        <v>5609</v>
      </c>
      <c r="B33" t="s">
        <v>5610</v>
      </c>
      <c r="C33" t="s">
        <v>5611</v>
      </c>
    </row>
    <row r="35" spans="1:5" ht="15" x14ac:dyDescent="0.25">
      <c r="A35" s="747" t="s">
        <v>5612</v>
      </c>
      <c r="B35" s="748"/>
      <c r="C35" s="748"/>
      <c r="D35" s="748"/>
    </row>
    <row r="36" spans="1:5" x14ac:dyDescent="0.2">
      <c r="A36">
        <v>1</v>
      </c>
      <c r="B36" t="s">
        <v>5613</v>
      </c>
    </row>
    <row r="37" spans="1:5" x14ac:dyDescent="0.2">
      <c r="A37">
        <v>2</v>
      </c>
      <c r="B37" t="s">
        <v>5614</v>
      </c>
    </row>
    <row r="38" spans="1:5" x14ac:dyDescent="0.2">
      <c r="A38">
        <v>3</v>
      </c>
      <c r="B38" t="s">
        <v>5615</v>
      </c>
    </row>
    <row r="39" spans="1:5" x14ac:dyDescent="0.2">
      <c r="A39">
        <v>4</v>
      </c>
      <c r="B39" t="s">
        <v>5616</v>
      </c>
    </row>
    <row r="40" spans="1:5" x14ac:dyDescent="0.2">
      <c r="A40">
        <v>5</v>
      </c>
      <c r="B40" t="s">
        <v>5617</v>
      </c>
    </row>
    <row r="41" spans="1:5" x14ac:dyDescent="0.2">
      <c r="A41">
        <v>6</v>
      </c>
      <c r="B41" t="s">
        <v>5618</v>
      </c>
    </row>
    <row r="42" spans="1:5" x14ac:dyDescent="0.2">
      <c r="A42">
        <v>7</v>
      </c>
      <c r="B42" t="s">
        <v>5619</v>
      </c>
    </row>
    <row r="43" spans="1:5" x14ac:dyDescent="0.2">
      <c r="A43">
        <v>8</v>
      </c>
      <c r="B43" t="s">
        <v>5620</v>
      </c>
    </row>
    <row r="44" spans="1:5" x14ac:dyDescent="0.2">
      <c r="A44">
        <v>9</v>
      </c>
      <c r="B44" t="s">
        <v>5621</v>
      </c>
    </row>
    <row r="45" spans="1:5" x14ac:dyDescent="0.2">
      <c r="A45">
        <v>10</v>
      </c>
      <c r="B45" t="s">
        <v>5622</v>
      </c>
    </row>
    <row r="47" spans="1:5" ht="15" x14ac:dyDescent="0.25">
      <c r="A47" s="735" t="s">
        <v>1543</v>
      </c>
      <c r="B47" s="736"/>
      <c r="C47" s="736"/>
      <c r="D47" s="736"/>
      <c r="E47" s="736"/>
    </row>
    <row r="48" spans="1:5" x14ac:dyDescent="0.2">
      <c r="A48" s="475" t="s">
        <v>610</v>
      </c>
      <c r="B48" s="475" t="s">
        <v>1545</v>
      </c>
      <c r="C48" s="475" t="s">
        <v>4543</v>
      </c>
      <c r="D48" s="475" t="s">
        <v>2</v>
      </c>
      <c r="E48" s="475" t="s">
        <v>1549</v>
      </c>
    </row>
    <row r="49" spans="1:5" x14ac:dyDescent="0.2">
      <c r="A49">
        <v>1</v>
      </c>
      <c r="B49" t="s">
        <v>5508</v>
      </c>
      <c r="C49" t="s">
        <v>5623</v>
      </c>
      <c r="D49" t="s">
        <v>5624</v>
      </c>
      <c r="E49" t="s">
        <v>4089</v>
      </c>
    </row>
    <row r="50" spans="1:5" x14ac:dyDescent="0.2">
      <c r="A50">
        <v>2</v>
      </c>
      <c r="B50" t="s">
        <v>5513</v>
      </c>
      <c r="C50" t="s">
        <v>5625</v>
      </c>
      <c r="D50" t="s">
        <v>5626</v>
      </c>
      <c r="E50" t="s">
        <v>4705</v>
      </c>
    </row>
    <row r="51" spans="1:5" x14ac:dyDescent="0.2">
      <c r="A51">
        <v>3</v>
      </c>
      <c r="B51" t="s">
        <v>5627</v>
      </c>
      <c r="C51" t="s">
        <v>5514</v>
      </c>
      <c r="D51" t="s">
        <v>5628</v>
      </c>
      <c r="E51" t="s">
        <v>5521</v>
      </c>
    </row>
    <row r="52" spans="1:5" x14ac:dyDescent="0.2">
      <c r="A52">
        <v>4</v>
      </c>
      <c r="B52" t="s">
        <v>5629</v>
      </c>
      <c r="C52" t="s">
        <v>5630</v>
      </c>
      <c r="D52" t="s">
        <v>5631</v>
      </c>
      <c r="E52" t="s">
        <v>4073</v>
      </c>
    </row>
    <row r="53" spans="1:5" x14ac:dyDescent="0.2">
      <c r="A53">
        <v>5</v>
      </c>
      <c r="B53" t="s">
        <v>5632</v>
      </c>
      <c r="C53" t="s">
        <v>5633</v>
      </c>
      <c r="D53" t="s">
        <v>5634</v>
      </c>
      <c r="E53" t="s">
        <v>4254</v>
      </c>
    </row>
    <row r="54" spans="1:5" x14ac:dyDescent="0.2">
      <c r="A54">
        <v>6</v>
      </c>
      <c r="B54" t="s">
        <v>5635</v>
      </c>
      <c r="C54" t="s">
        <v>5636</v>
      </c>
      <c r="D54" t="s">
        <v>5637</v>
      </c>
      <c r="E54" t="s">
        <v>4085</v>
      </c>
    </row>
    <row r="55" spans="1:5" x14ac:dyDescent="0.2">
      <c r="A55">
        <v>7</v>
      </c>
      <c r="B55" t="s">
        <v>5638</v>
      </c>
      <c r="C55" t="s">
        <v>5639</v>
      </c>
      <c r="D55" t="s">
        <v>5640</v>
      </c>
      <c r="E55" t="s">
        <v>4562</v>
      </c>
    </row>
    <row r="56" spans="1:5" x14ac:dyDescent="0.2">
      <c r="A56">
        <v>8</v>
      </c>
      <c r="B56" t="s">
        <v>5641</v>
      </c>
      <c r="C56" t="s">
        <v>5642</v>
      </c>
      <c r="D56" t="s">
        <v>5643</v>
      </c>
      <c r="E56" t="s">
        <v>4073</v>
      </c>
    </row>
    <row r="57" spans="1:5" x14ac:dyDescent="0.2">
      <c r="A57">
        <v>9</v>
      </c>
      <c r="B57" t="s">
        <v>5644</v>
      </c>
      <c r="C57" t="s">
        <v>5645</v>
      </c>
      <c r="D57" t="s">
        <v>5646</v>
      </c>
      <c r="E57" t="s">
        <v>4247</v>
      </c>
    </row>
    <row r="58" spans="1:5" x14ac:dyDescent="0.2">
      <c r="A58">
        <v>10</v>
      </c>
      <c r="B58" t="s">
        <v>1824</v>
      </c>
      <c r="C58" t="s">
        <v>5647</v>
      </c>
      <c r="D58" t="s">
        <v>5648</v>
      </c>
      <c r="E58" t="s">
        <v>4254</v>
      </c>
    </row>
    <row r="59" spans="1:5" x14ac:dyDescent="0.2">
      <c r="A59">
        <v>11</v>
      </c>
      <c r="B59" t="s">
        <v>5534</v>
      </c>
      <c r="C59" t="s">
        <v>5649</v>
      </c>
      <c r="D59" t="s">
        <v>5650</v>
      </c>
      <c r="E59" t="s">
        <v>4247</v>
      </c>
    </row>
    <row r="60" spans="1:5" x14ac:dyDescent="0.2">
      <c r="B60" s="472" t="s">
        <v>4098</v>
      </c>
      <c r="E60" s="472" t="s">
        <v>5651</v>
      </c>
    </row>
    <row r="62" spans="1:5" ht="15" x14ac:dyDescent="0.25">
      <c r="A62" s="751" t="s">
        <v>1532</v>
      </c>
      <c r="B62" s="752"/>
      <c r="C62" s="752"/>
      <c r="D62" s="752"/>
    </row>
    <row r="63" spans="1:5" x14ac:dyDescent="0.2">
      <c r="A63" t="s">
        <v>5652</v>
      </c>
    </row>
    <row r="64" spans="1:5" x14ac:dyDescent="0.2">
      <c r="A64" t="s">
        <v>5653</v>
      </c>
    </row>
    <row r="65" spans="1:1" x14ac:dyDescent="0.2">
      <c r="A65" t="s">
        <v>5654</v>
      </c>
    </row>
    <row r="66" spans="1:1" x14ac:dyDescent="0.2">
      <c r="A66" t="s">
        <v>5655</v>
      </c>
    </row>
    <row r="67" spans="1:1" x14ac:dyDescent="0.2">
      <c r="A67" t="s">
        <v>5656</v>
      </c>
    </row>
    <row r="68" spans="1:1" x14ac:dyDescent="0.2">
      <c r="A68" t="s">
        <v>5657</v>
      </c>
    </row>
    <row r="69" spans="1:1" x14ac:dyDescent="0.2">
      <c r="A69" t="s">
        <v>5658</v>
      </c>
    </row>
    <row r="70" spans="1:1" x14ac:dyDescent="0.2">
      <c r="A70" t="s">
        <v>5659</v>
      </c>
    </row>
    <row r="71" spans="1:1" x14ac:dyDescent="0.2">
      <c r="A71" t="s">
        <v>5660</v>
      </c>
    </row>
    <row r="72" spans="1:1" x14ac:dyDescent="0.2">
      <c r="A72" t="s">
        <v>5661</v>
      </c>
    </row>
    <row r="75" spans="1:1" ht="18" x14ac:dyDescent="0.25">
      <c r="A75" s="833" t="s">
        <v>7054</v>
      </c>
    </row>
    <row r="76" spans="1:1" x14ac:dyDescent="0.2">
      <c r="A76" s="734" t="s">
        <v>7055</v>
      </c>
    </row>
    <row r="78" spans="1:1" x14ac:dyDescent="0.2">
      <c r="A78" s="609" t="s">
        <v>6355</v>
      </c>
    </row>
    <row r="79" spans="1:1" x14ac:dyDescent="0.2">
      <c r="A79" t="s">
        <v>7056</v>
      </c>
    </row>
    <row r="80" spans="1:1" x14ac:dyDescent="0.2">
      <c r="A80" t="s">
        <v>7057</v>
      </c>
    </row>
    <row r="82" spans="1:1" x14ac:dyDescent="0.2">
      <c r="A82" s="609" t="s">
        <v>6359</v>
      </c>
    </row>
    <row r="83" spans="1:1" x14ac:dyDescent="0.2">
      <c r="A83" t="s">
        <v>7058</v>
      </c>
    </row>
    <row r="84" spans="1:1" x14ac:dyDescent="0.2">
      <c r="A84" t="s">
        <v>7059</v>
      </c>
    </row>
    <row r="85" spans="1:1" x14ac:dyDescent="0.2">
      <c r="A85" t="s">
        <v>7060</v>
      </c>
    </row>
    <row r="87" spans="1:1" x14ac:dyDescent="0.2">
      <c r="A87" s="609" t="s">
        <v>6654</v>
      </c>
    </row>
    <row r="88" spans="1:1" x14ac:dyDescent="0.2">
      <c r="A88" t="s">
        <v>7061</v>
      </c>
    </row>
    <row r="89" spans="1:1" x14ac:dyDescent="0.2">
      <c r="A89" t="s">
        <v>7062</v>
      </c>
    </row>
    <row r="90" spans="1:1" x14ac:dyDescent="0.2">
      <c r="A90" t="s">
        <v>7063</v>
      </c>
    </row>
    <row r="92" spans="1:1" x14ac:dyDescent="0.2">
      <c r="A92" s="609" t="s">
        <v>6658</v>
      </c>
    </row>
    <row r="93" spans="1:1" x14ac:dyDescent="0.2">
      <c r="A93" t="s">
        <v>7064</v>
      </c>
    </row>
    <row r="94" spans="1:1" x14ac:dyDescent="0.2">
      <c r="A94" t="s">
        <v>7065</v>
      </c>
    </row>
    <row r="96" spans="1:1" x14ac:dyDescent="0.2">
      <c r="A96" s="609" t="s">
        <v>6661</v>
      </c>
    </row>
    <row r="97" spans="1:1" x14ac:dyDescent="0.2">
      <c r="A97" t="s">
        <v>7066</v>
      </c>
    </row>
    <row r="98" spans="1:1" x14ac:dyDescent="0.2">
      <c r="A98" t="s">
        <v>6493</v>
      </c>
    </row>
    <row r="99" spans="1:1" x14ac:dyDescent="0.2">
      <c r="A99" t="s">
        <v>7067</v>
      </c>
    </row>
    <row r="101" spans="1:1" x14ac:dyDescent="0.2">
      <c r="A101" s="609" t="s">
        <v>6682</v>
      </c>
    </row>
    <row r="102" spans="1:1" x14ac:dyDescent="0.2">
      <c r="A102" t="s">
        <v>7068</v>
      </c>
    </row>
    <row r="105" spans="1:1" ht="18" x14ac:dyDescent="0.25">
      <c r="A105" s="838" t="s">
        <v>7436</v>
      </c>
    </row>
    <row r="106" spans="1:1" x14ac:dyDescent="0.2">
      <c r="A106" s="734" t="s">
        <v>7246</v>
      </c>
    </row>
    <row r="108" spans="1:1" x14ac:dyDescent="0.2">
      <c r="A108" s="839" t="s">
        <v>7297</v>
      </c>
    </row>
    <row r="109" spans="1:1" x14ac:dyDescent="0.2">
      <c r="A109" s="842" t="s">
        <v>7437</v>
      </c>
    </row>
    <row r="110" spans="1:1" x14ac:dyDescent="0.2">
      <c r="A110" t="s">
        <v>7438</v>
      </c>
    </row>
    <row r="111" spans="1:1" x14ac:dyDescent="0.2">
      <c r="A111" t="s">
        <v>7439</v>
      </c>
    </row>
    <row r="113" spans="1:1" x14ac:dyDescent="0.2">
      <c r="A113" s="839" t="s">
        <v>7247</v>
      </c>
    </row>
    <row r="114" spans="1:1" x14ac:dyDescent="0.2">
      <c r="A114" s="842" t="s">
        <v>7440</v>
      </c>
    </row>
    <row r="115" spans="1:1" x14ac:dyDescent="0.2">
      <c r="A115" t="s">
        <v>7441</v>
      </c>
    </row>
    <row r="117" spans="1:1" x14ac:dyDescent="0.2">
      <c r="A117" s="839" t="s">
        <v>7321</v>
      </c>
    </row>
    <row r="118" spans="1:1" x14ac:dyDescent="0.2">
      <c r="A118" t="s">
        <v>7442</v>
      </c>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B7C7E-F665-4120-A4A4-AD2AA94293A2}">
  <dimension ref="A1:J186"/>
  <sheetViews>
    <sheetView workbookViewId="0">
      <pane ySplit="3" topLeftCell="A4" activePane="bottomLeft" state="frozen"/>
      <selection pane="bottomLeft" activeCell="D2" sqref="D2"/>
    </sheetView>
  </sheetViews>
  <sheetFormatPr defaultRowHeight="12.75" x14ac:dyDescent="0.2"/>
  <cols>
    <col min="1" max="1" width="137.140625" customWidth="1"/>
    <col min="2" max="3" width="53.28515625" customWidth="1"/>
    <col min="4" max="4" width="34.28515625" customWidth="1"/>
    <col min="5" max="5" width="61" customWidth="1"/>
    <col min="6" max="8" width="19" customWidth="1"/>
    <col min="9" max="10" width="15.28515625" customWidth="1"/>
  </cols>
  <sheetData>
    <row r="1" spans="1:5" ht="18" x14ac:dyDescent="0.25">
      <c r="A1" s="470" t="s">
        <v>3716</v>
      </c>
      <c r="D1" s="766">
        <v>46143</v>
      </c>
    </row>
    <row r="2" spans="1:5" x14ac:dyDescent="0.2">
      <c r="A2" s="734" t="s">
        <v>3717</v>
      </c>
    </row>
    <row r="3" spans="1:5" x14ac:dyDescent="0.2">
      <c r="A3" s="762" t="s">
        <v>3718</v>
      </c>
    </row>
    <row r="5" spans="1:5" ht="15" x14ac:dyDescent="0.25">
      <c r="A5" s="735" t="s">
        <v>1443</v>
      </c>
      <c r="B5" s="736"/>
      <c r="C5" s="736"/>
      <c r="D5" s="736"/>
      <c r="E5" s="736"/>
    </row>
    <row r="6" spans="1:5" x14ac:dyDescent="0.2">
      <c r="A6" s="472" t="s">
        <v>3719</v>
      </c>
      <c r="B6" s="475" t="s">
        <v>3720</v>
      </c>
      <c r="C6" s="475" t="s">
        <v>3721</v>
      </c>
      <c r="D6" t="s">
        <v>2</v>
      </c>
    </row>
    <row r="7" spans="1:5" x14ac:dyDescent="0.2">
      <c r="A7" t="s">
        <v>3722</v>
      </c>
      <c r="B7" s="565">
        <v>6</v>
      </c>
      <c r="C7" s="565">
        <v>12</v>
      </c>
      <c r="D7" t="s">
        <v>3723</v>
      </c>
    </row>
    <row r="8" spans="1:5" x14ac:dyDescent="0.2">
      <c r="A8" t="s">
        <v>3724</v>
      </c>
      <c r="B8" s="565">
        <v>9</v>
      </c>
      <c r="C8" s="565">
        <v>16</v>
      </c>
      <c r="D8" t="s">
        <v>3725</v>
      </c>
    </row>
    <row r="9" spans="1:5" x14ac:dyDescent="0.2">
      <c r="A9" t="s">
        <v>3006</v>
      </c>
      <c r="B9" s="596">
        <v>0.375</v>
      </c>
      <c r="C9" s="596">
        <v>0.5</v>
      </c>
      <c r="D9" t="s">
        <v>3726</v>
      </c>
    </row>
    <row r="10" spans="1:5" x14ac:dyDescent="0.2">
      <c r="A10" t="s">
        <v>1266</v>
      </c>
      <c r="B10" s="565">
        <v>1</v>
      </c>
      <c r="C10" s="565">
        <v>1.5</v>
      </c>
      <c r="D10" t="s">
        <v>3727</v>
      </c>
    </row>
    <row r="11" spans="1:5" x14ac:dyDescent="0.2">
      <c r="A11" t="s">
        <v>3728</v>
      </c>
      <c r="B11" s="596">
        <v>0.125</v>
      </c>
      <c r="C11" s="596">
        <v>0.125</v>
      </c>
      <c r="D11" t="s">
        <v>3729</v>
      </c>
    </row>
    <row r="12" spans="1:5" x14ac:dyDescent="0.2">
      <c r="A12" t="s">
        <v>334</v>
      </c>
      <c r="B12" s="564" t="s">
        <v>1248</v>
      </c>
      <c r="C12" s="564" t="s">
        <v>1248</v>
      </c>
      <c r="D12" t="s">
        <v>3730</v>
      </c>
    </row>
    <row r="13" spans="1:5" x14ac:dyDescent="0.2">
      <c r="A13" t="s">
        <v>3731</v>
      </c>
      <c r="B13" s="679">
        <v>24438</v>
      </c>
      <c r="C13" s="679">
        <v>24438</v>
      </c>
      <c r="D13" t="s">
        <v>3732</v>
      </c>
    </row>
    <row r="14" spans="1:5" x14ac:dyDescent="0.2">
      <c r="A14" t="s">
        <v>994</v>
      </c>
      <c r="B14" s="564" t="s">
        <v>3733</v>
      </c>
      <c r="C14" s="564" t="s">
        <v>3733</v>
      </c>
      <c r="D14" t="s">
        <v>3734</v>
      </c>
    </row>
    <row r="15" spans="1:5" x14ac:dyDescent="0.2">
      <c r="A15" t="s">
        <v>3735</v>
      </c>
      <c r="B15" s="564">
        <v>72</v>
      </c>
      <c r="C15" s="564">
        <v>60</v>
      </c>
      <c r="D15" t="s">
        <v>3736</v>
      </c>
    </row>
    <row r="16" spans="1:5" x14ac:dyDescent="0.2">
      <c r="A16" t="s">
        <v>3737</v>
      </c>
      <c r="B16" s="564">
        <v>8</v>
      </c>
      <c r="C16" s="564">
        <v>8</v>
      </c>
      <c r="D16" t="s">
        <v>3738</v>
      </c>
    </row>
    <row r="17" spans="1:5" x14ac:dyDescent="0.2">
      <c r="A17" t="s">
        <v>1457</v>
      </c>
      <c r="B17" s="679">
        <v>13552</v>
      </c>
      <c r="C17" s="679">
        <v>13552</v>
      </c>
      <c r="D17" t="s">
        <v>3739</v>
      </c>
    </row>
    <row r="19" spans="1:5" x14ac:dyDescent="0.2">
      <c r="A19" s="472" t="s">
        <v>3740</v>
      </c>
      <c r="B19" s="475" t="s">
        <v>3741</v>
      </c>
      <c r="C19" s="475" t="s">
        <v>3742</v>
      </c>
    </row>
    <row r="20" spans="1:5" x14ac:dyDescent="0.2">
      <c r="A20" t="s">
        <v>3743</v>
      </c>
      <c r="B20" s="564" t="s">
        <v>3744</v>
      </c>
      <c r="C20" s="564" t="s">
        <v>3744</v>
      </c>
      <c r="D20" t="s">
        <v>3745</v>
      </c>
    </row>
    <row r="21" spans="1:5" x14ac:dyDescent="0.2">
      <c r="A21" t="s">
        <v>3746</v>
      </c>
      <c r="B21" s="565">
        <v>2</v>
      </c>
      <c r="C21" s="565">
        <v>3</v>
      </c>
      <c r="D21" t="s">
        <v>3747</v>
      </c>
    </row>
    <row r="23" spans="1:5" ht="15" x14ac:dyDescent="0.25">
      <c r="A23" s="743" t="s">
        <v>3748</v>
      </c>
      <c r="B23" s="744"/>
      <c r="C23" s="744"/>
      <c r="D23" s="744"/>
      <c r="E23" s="744"/>
    </row>
    <row r="24" spans="1:5" x14ac:dyDescent="0.2">
      <c r="A24" s="734" t="s">
        <v>3749</v>
      </c>
    </row>
    <row r="25" spans="1:5" x14ac:dyDescent="0.2">
      <c r="A25" s="734" t="s">
        <v>3750</v>
      </c>
    </row>
    <row r="27" spans="1:5" x14ac:dyDescent="0.2">
      <c r="A27" s="472"/>
      <c r="B27" s="475" t="s">
        <v>3720</v>
      </c>
      <c r="C27" s="475" t="s">
        <v>3721</v>
      </c>
      <c r="D27" t="s">
        <v>3751</v>
      </c>
    </row>
    <row r="28" spans="1:5" x14ac:dyDescent="0.2">
      <c r="A28" t="s">
        <v>3752</v>
      </c>
      <c r="B28" s="482">
        <f>B7-2*B9</f>
        <v>5.25</v>
      </c>
      <c r="C28" s="482">
        <f>C7-2*C9</f>
        <v>11</v>
      </c>
      <c r="D28" s="759" t="s">
        <v>3753</v>
      </c>
    </row>
    <row r="29" spans="1:5" x14ac:dyDescent="0.2">
      <c r="A29" t="s">
        <v>3754</v>
      </c>
      <c r="B29" s="481">
        <f>PI()*(B28/2)^2*B8</f>
        <v>194.82783190777951</v>
      </c>
      <c r="C29" s="481">
        <f>PI()*(C28/2)^2*C8</f>
        <v>1520.5308443374599</v>
      </c>
      <c r="D29" s="759" t="s">
        <v>3755</v>
      </c>
    </row>
    <row r="30" spans="1:5" x14ac:dyDescent="0.2">
      <c r="A30" t="s">
        <v>3756</v>
      </c>
      <c r="B30" s="481">
        <f>PI()*B7</f>
        <v>18.849555921538759</v>
      </c>
      <c r="C30" s="481">
        <f>PI()*C7</f>
        <v>37.699111843077517</v>
      </c>
      <c r="D30" s="759" t="s">
        <v>3757</v>
      </c>
    </row>
    <row r="31" spans="1:5" x14ac:dyDescent="0.2">
      <c r="A31" t="s">
        <v>3758</v>
      </c>
      <c r="B31" s="540">
        <f>FLOOR(B30/(B10+B11),1)</f>
        <v>16</v>
      </c>
      <c r="C31" s="540">
        <f>FLOOR(C30/(C10+C11),1)</f>
        <v>23</v>
      </c>
      <c r="D31" s="759" t="s">
        <v>3759</v>
      </c>
    </row>
    <row r="32" spans="1:5" x14ac:dyDescent="0.2">
      <c r="A32" t="s">
        <v>3760</v>
      </c>
      <c r="B32" t="str">
        <f>IF(B16&lt;=B31,"✓ Fits","⚠️ Too many tongues!")</f>
        <v>✓ Fits</v>
      </c>
      <c r="C32" t="str">
        <f>IF(C16&lt;=C31,"✓ Fits","⚠️ Too many tongues!")</f>
        <v>✓ Fits</v>
      </c>
      <c r="D32" t="s">
        <v>3761</v>
      </c>
    </row>
    <row r="33" spans="1:5" x14ac:dyDescent="0.2">
      <c r="A33" t="s">
        <v>3762</v>
      </c>
      <c r="B33" s="481">
        <f>360/B16</f>
        <v>45</v>
      </c>
      <c r="C33" s="481">
        <f>360/C16</f>
        <v>45</v>
      </c>
      <c r="D33" s="759" t="s">
        <v>3763</v>
      </c>
    </row>
    <row r="34" spans="1:5" x14ac:dyDescent="0.2">
      <c r="A34" t="s">
        <v>3764</v>
      </c>
      <c r="B34" s="702">
        <f>B10/B7</f>
        <v>0.16666666666666666</v>
      </c>
      <c r="C34" s="702">
        <f>C10/C7</f>
        <v>0.125</v>
      </c>
      <c r="D34" t="s">
        <v>3765</v>
      </c>
    </row>
    <row r="35" spans="1:5" x14ac:dyDescent="0.2">
      <c r="A35" t="s">
        <v>3766</v>
      </c>
      <c r="B35" t="str">
        <f>IF(B34&lt;=0.2,"✓ Flat approx OK","⚠️ Significant curvature")</f>
        <v>✓ Flat approx OK</v>
      </c>
      <c r="C35" t="str">
        <f>IF(C34&lt;=0.2,"✓ Flat approx OK","⚠️ Significant curvature")</f>
        <v>✓ Flat approx OK</v>
      </c>
      <c r="D35" t="s">
        <v>3767</v>
      </c>
    </row>
    <row r="37" spans="1:5" ht="15" x14ac:dyDescent="0.25">
      <c r="A37" s="738" t="s">
        <v>3768</v>
      </c>
      <c r="B37" s="739"/>
      <c r="C37" s="739"/>
      <c r="D37" s="739"/>
      <c r="E37" s="739"/>
    </row>
    <row r="38" spans="1:5" x14ac:dyDescent="0.2">
      <c r="A38" s="475" t="s">
        <v>3769</v>
      </c>
      <c r="B38" s="475" t="s">
        <v>3770</v>
      </c>
      <c r="C38" s="475" t="s">
        <v>3771</v>
      </c>
      <c r="D38" s="475" t="s">
        <v>3772</v>
      </c>
      <c r="E38" s="475" t="s">
        <v>3773</v>
      </c>
    </row>
    <row r="39" spans="1:5" x14ac:dyDescent="0.2">
      <c r="A39" t="s">
        <v>3774</v>
      </c>
      <c r="B39" t="s">
        <v>3775</v>
      </c>
      <c r="D39" t="s">
        <v>3776</v>
      </c>
      <c r="E39" t="s">
        <v>3777</v>
      </c>
    </row>
    <row r="40" spans="1:5" x14ac:dyDescent="0.2">
      <c r="A40" t="s">
        <v>3778</v>
      </c>
      <c r="B40" t="s">
        <v>3779</v>
      </c>
      <c r="D40" t="s">
        <v>3780</v>
      </c>
      <c r="E40" t="s">
        <v>3781</v>
      </c>
    </row>
    <row r="41" spans="1:5" x14ac:dyDescent="0.2">
      <c r="A41" t="s">
        <v>3782</v>
      </c>
      <c r="B41" t="s">
        <v>3783</v>
      </c>
      <c r="D41" t="s">
        <v>3784</v>
      </c>
      <c r="E41" t="s">
        <v>3785</v>
      </c>
    </row>
    <row r="42" spans="1:5" x14ac:dyDescent="0.2">
      <c r="A42" t="s">
        <v>3786</v>
      </c>
      <c r="B42" t="s">
        <v>3787</v>
      </c>
      <c r="D42" t="s">
        <v>3788</v>
      </c>
      <c r="E42" t="s">
        <v>3789</v>
      </c>
    </row>
    <row r="44" spans="1:5" x14ac:dyDescent="0.2">
      <c r="A44" s="763" t="s">
        <v>3790</v>
      </c>
    </row>
    <row r="45" spans="1:5" x14ac:dyDescent="0.2">
      <c r="A45" t="s">
        <v>3791</v>
      </c>
    </row>
    <row r="46" spans="1:5" x14ac:dyDescent="0.2">
      <c r="A46" t="s">
        <v>3792</v>
      </c>
      <c r="B46" s="469">
        <f>C16*(C11*C10+2*C11*3)</f>
        <v>7.5</v>
      </c>
    </row>
    <row r="47" spans="1:5" x14ac:dyDescent="0.2">
      <c r="A47" t="s">
        <v>3793</v>
      </c>
      <c r="B47" s="482">
        <f>C9</f>
        <v>0.5</v>
      </c>
      <c r="D47" s="759" t="s">
        <v>3794</v>
      </c>
    </row>
    <row r="48" spans="1:5" x14ac:dyDescent="0.2">
      <c r="A48" t="s">
        <v>3795</v>
      </c>
      <c r="B48" s="707">
        <f>C17/(2*PI())*SQRT(B46/(C29*B47))</f>
        <v>214.225683420699</v>
      </c>
      <c r="D48" t="s">
        <v>3796</v>
      </c>
    </row>
    <row r="49" spans="1:5" x14ac:dyDescent="0.2">
      <c r="A49" t="s">
        <v>3797</v>
      </c>
      <c r="B49" s="481">
        <f>B48*0.8</f>
        <v>171.38054673655921</v>
      </c>
      <c r="C49" s="481">
        <f>B48*1.2</f>
        <v>257.07082010483879</v>
      </c>
      <c r="D49" t="s">
        <v>3798</v>
      </c>
    </row>
    <row r="51" spans="1:5" x14ac:dyDescent="0.2">
      <c r="A51" t="s">
        <v>3799</v>
      </c>
    </row>
    <row r="52" spans="1:5" x14ac:dyDescent="0.2">
      <c r="A52" t="s">
        <v>3800</v>
      </c>
      <c r="B52" s="707">
        <f>C17/(4*C8)</f>
        <v>211.75</v>
      </c>
      <c r="D52" t="s">
        <v>3801</v>
      </c>
    </row>
    <row r="53" spans="1:5" x14ac:dyDescent="0.2">
      <c r="A53" t="s">
        <v>3802</v>
      </c>
      <c r="B53" s="481">
        <f>B52*3</f>
        <v>635.25</v>
      </c>
      <c r="D53" t="s">
        <v>3803</v>
      </c>
    </row>
    <row r="55" spans="1:5" x14ac:dyDescent="0.2">
      <c r="A55" t="s">
        <v>3804</v>
      </c>
    </row>
    <row r="56" spans="1:5" x14ac:dyDescent="0.2">
      <c r="A56" t="s">
        <v>3800</v>
      </c>
      <c r="B56" s="707">
        <f>C17/(2*C8)</f>
        <v>423.5</v>
      </c>
      <c r="D56" t="s">
        <v>3805</v>
      </c>
    </row>
    <row r="57" spans="1:5" x14ac:dyDescent="0.2">
      <c r="A57" t="s">
        <v>3802</v>
      </c>
      <c r="B57" s="481">
        <f>B56*2</f>
        <v>847</v>
      </c>
      <c r="D57" t="s">
        <v>3806</v>
      </c>
    </row>
    <row r="59" spans="1:5" ht="15" x14ac:dyDescent="0.25">
      <c r="A59" s="747" t="s">
        <v>3807</v>
      </c>
      <c r="B59" s="748"/>
      <c r="C59" s="748"/>
      <c r="D59" s="748"/>
      <c r="E59" s="748"/>
    </row>
    <row r="60" spans="1:5" x14ac:dyDescent="0.2">
      <c r="A60" s="475" t="s">
        <v>3808</v>
      </c>
      <c r="B60" s="475" t="s">
        <v>3090</v>
      </c>
      <c r="C60" s="475" t="s">
        <v>3809</v>
      </c>
      <c r="D60" s="475" t="s">
        <v>3810</v>
      </c>
      <c r="E60" s="475" t="s">
        <v>3811</v>
      </c>
    </row>
    <row r="61" spans="1:5" x14ac:dyDescent="0.2">
      <c r="A61" t="s">
        <v>3812</v>
      </c>
      <c r="B61" t="s">
        <v>3813</v>
      </c>
      <c r="C61" t="s">
        <v>3814</v>
      </c>
      <c r="D61" t="s">
        <v>3815</v>
      </c>
      <c r="E61" t="s">
        <v>3816</v>
      </c>
    </row>
    <row r="62" spans="1:5" x14ac:dyDescent="0.2">
      <c r="A62" t="s">
        <v>3817</v>
      </c>
      <c r="B62" t="s">
        <v>3818</v>
      </c>
      <c r="C62" t="s">
        <v>3819</v>
      </c>
      <c r="D62" t="s">
        <v>3820</v>
      </c>
      <c r="E62" t="s">
        <v>3821</v>
      </c>
    </row>
    <row r="63" spans="1:5" x14ac:dyDescent="0.2">
      <c r="A63" t="s">
        <v>3822</v>
      </c>
      <c r="B63" t="s">
        <v>3823</v>
      </c>
      <c r="C63" t="s">
        <v>3824</v>
      </c>
      <c r="D63" t="s">
        <v>3825</v>
      </c>
      <c r="E63" t="s">
        <v>3826</v>
      </c>
    </row>
    <row r="64" spans="1:5" x14ac:dyDescent="0.2">
      <c r="A64" t="s">
        <v>3827</v>
      </c>
      <c r="B64" t="s">
        <v>3828</v>
      </c>
      <c r="C64" t="s">
        <v>3829</v>
      </c>
      <c r="D64" t="s">
        <v>3830</v>
      </c>
      <c r="E64" t="s">
        <v>3831</v>
      </c>
    </row>
    <row r="66" spans="1:5" ht="15" x14ac:dyDescent="0.25">
      <c r="A66" s="764" t="s">
        <v>3832</v>
      </c>
      <c r="B66" s="765"/>
      <c r="C66" s="765"/>
      <c r="D66" s="765"/>
      <c r="E66" s="765"/>
    </row>
    <row r="67" spans="1:5" x14ac:dyDescent="0.2">
      <c r="A67" s="475" t="s">
        <v>3219</v>
      </c>
      <c r="B67" s="475" t="s">
        <v>3090</v>
      </c>
      <c r="C67" s="475" t="s">
        <v>3809</v>
      </c>
      <c r="D67" s="475" t="s">
        <v>3810</v>
      </c>
      <c r="E67" s="475" t="s">
        <v>3773</v>
      </c>
    </row>
    <row r="68" spans="1:5" x14ac:dyDescent="0.2">
      <c r="A68" t="s">
        <v>3833</v>
      </c>
      <c r="B68" t="s">
        <v>3834</v>
      </c>
      <c r="C68" t="s">
        <v>3835</v>
      </c>
      <c r="D68" t="s">
        <v>3836</v>
      </c>
      <c r="E68" t="s">
        <v>3837</v>
      </c>
    </row>
    <row r="69" spans="1:5" x14ac:dyDescent="0.2">
      <c r="A69" t="s">
        <v>3838</v>
      </c>
      <c r="B69" t="s">
        <v>3839</v>
      </c>
      <c r="C69" t="s">
        <v>3840</v>
      </c>
      <c r="D69" t="s">
        <v>3841</v>
      </c>
      <c r="E69" t="s">
        <v>3842</v>
      </c>
    </row>
    <row r="70" spans="1:5" x14ac:dyDescent="0.2">
      <c r="A70" t="s">
        <v>3843</v>
      </c>
      <c r="B70" t="s">
        <v>3844</v>
      </c>
      <c r="C70" t="s">
        <v>3845</v>
      </c>
      <c r="D70" t="s">
        <v>3846</v>
      </c>
      <c r="E70" t="s">
        <v>3847</v>
      </c>
    </row>
    <row r="72" spans="1:5" x14ac:dyDescent="0.2">
      <c r="A72" s="472" t="s">
        <v>3848</v>
      </c>
    </row>
    <row r="73" spans="1:5" x14ac:dyDescent="0.2">
      <c r="A73" t="s">
        <v>2676</v>
      </c>
      <c r="B73" s="564">
        <v>12</v>
      </c>
    </row>
    <row r="74" spans="1:5" x14ac:dyDescent="0.2">
      <c r="A74" t="s">
        <v>3204</v>
      </c>
      <c r="B74" s="564">
        <v>12</v>
      </c>
      <c r="C74" t="s">
        <v>3849</v>
      </c>
    </row>
    <row r="75" spans="1:5" x14ac:dyDescent="0.2">
      <c r="A75" t="s">
        <v>2678</v>
      </c>
      <c r="B75" s="469">
        <f>180/B73</f>
        <v>15</v>
      </c>
    </row>
    <row r="76" spans="1:5" x14ac:dyDescent="0.2">
      <c r="A76" t="s">
        <v>2684</v>
      </c>
      <c r="B76" s="540">
        <f>B73*B74</f>
        <v>144</v>
      </c>
    </row>
    <row r="77" spans="1:5" x14ac:dyDescent="0.2">
      <c r="A77" t="s">
        <v>2677</v>
      </c>
      <c r="B77" s="482">
        <f>C8/B74</f>
        <v>1.3333333333333333</v>
      </c>
      <c r="D77" s="759" t="s">
        <v>3850</v>
      </c>
    </row>
    <row r="78" spans="1:5" x14ac:dyDescent="0.2">
      <c r="A78" t="s">
        <v>3851</v>
      </c>
      <c r="B78" s="482">
        <f>PI()*C7/B73</f>
        <v>3.1415926535897931</v>
      </c>
      <c r="D78" s="759" t="s">
        <v>3852</v>
      </c>
    </row>
    <row r="80" spans="1:5" x14ac:dyDescent="0.2">
      <c r="A80" s="472" t="s">
        <v>3853</v>
      </c>
    </row>
    <row r="81" spans="1:10" x14ac:dyDescent="0.2">
      <c r="A81" t="s">
        <v>3208</v>
      </c>
      <c r="B81" s="564">
        <v>12</v>
      </c>
    </row>
    <row r="82" spans="1:10" x14ac:dyDescent="0.2">
      <c r="A82" t="s">
        <v>3210</v>
      </c>
      <c r="B82" s="469">
        <f>180/B81</f>
        <v>15</v>
      </c>
    </row>
    <row r="83" spans="1:10" x14ac:dyDescent="0.2">
      <c r="A83" t="s">
        <v>3854</v>
      </c>
      <c r="B83" s="482">
        <f>PI()*C7/B81</f>
        <v>3.1415926535897931</v>
      </c>
    </row>
    <row r="84" spans="1:10" x14ac:dyDescent="0.2">
      <c r="A84" t="s">
        <v>3855</v>
      </c>
      <c r="B84" s="481">
        <f>C8</f>
        <v>16</v>
      </c>
    </row>
    <row r="85" spans="1:10" x14ac:dyDescent="0.2">
      <c r="A85" t="s">
        <v>3217</v>
      </c>
      <c r="B85" s="482">
        <f>C9+0.5</f>
        <v>1</v>
      </c>
    </row>
    <row r="87" spans="1:10" ht="15" x14ac:dyDescent="0.25">
      <c r="A87" s="743" t="s">
        <v>3856</v>
      </c>
      <c r="B87" s="744"/>
      <c r="C87" s="744"/>
      <c r="D87" s="744"/>
      <c r="E87" s="744"/>
      <c r="F87" s="744"/>
      <c r="G87" s="744"/>
      <c r="H87" s="744"/>
      <c r="I87" s="744"/>
      <c r="J87" s="744"/>
    </row>
    <row r="88" spans="1:10" x14ac:dyDescent="0.2">
      <c r="A88" s="475" t="s">
        <v>610</v>
      </c>
      <c r="B88" s="475" t="s">
        <v>3857</v>
      </c>
      <c r="C88" s="475" t="s">
        <v>785</v>
      </c>
      <c r="D88" s="475" t="s">
        <v>1272</v>
      </c>
      <c r="E88" s="475" t="s">
        <v>1368</v>
      </c>
      <c r="F88" s="475" t="s">
        <v>3858</v>
      </c>
      <c r="G88" s="475" t="s">
        <v>3859</v>
      </c>
      <c r="H88" s="475" t="s">
        <v>3860</v>
      </c>
      <c r="I88" s="475" t="s">
        <v>3861</v>
      </c>
      <c r="J88" s="475" t="s">
        <v>3862</v>
      </c>
    </row>
    <row r="89" spans="1:10" x14ac:dyDescent="0.2">
      <c r="A89">
        <v>1</v>
      </c>
      <c r="B89" t="s">
        <v>3863</v>
      </c>
      <c r="C89" t="s">
        <v>73</v>
      </c>
      <c r="D89">
        <f>$B$15</f>
        <v>72</v>
      </c>
      <c r="E89" s="481">
        <f>440*2^((D89-69)/12)</f>
        <v>523.25113060119725</v>
      </c>
      <c r="F89" s="482">
        <f>SQRT($B$13*$B$9/E89)</f>
        <v>4.1849798993458993</v>
      </c>
      <c r="G89" s="482">
        <f>SQRT($C$13*$C$9/E89)</f>
        <v>4.8323985428810561</v>
      </c>
      <c r="H89" t="str">
        <f>IF(AND(F89&lt;=$B$8*0.8,G89&lt;=$C$8*0.8),"✓ Both",IF(G89&lt;=$C$8*0.8,"✓ Med only","⚠️ Too long"))</f>
        <v>✓ Both</v>
      </c>
      <c r="I89" s="481">
        <f>F89/($B$7/2)*180/PI()</f>
        <v>79.927228526534705</v>
      </c>
      <c r="J89" s="481">
        <f>G89/($C$7/2)*180/PI()</f>
        <v>46.146006905375543</v>
      </c>
    </row>
    <row r="90" spans="1:10" x14ac:dyDescent="0.2">
      <c r="A90">
        <v>2</v>
      </c>
      <c r="B90">
        <v>3</v>
      </c>
      <c r="C90" t="s">
        <v>1018</v>
      </c>
      <c r="D90">
        <f>$B$15+3</f>
        <v>75</v>
      </c>
      <c r="E90" s="481">
        <f t="shared" ref="E90:E96" si="0">440*2^((D90-69)/12)</f>
        <v>622.25396744416184</v>
      </c>
      <c r="F90" s="482">
        <f t="shared" ref="F90:F96" si="1">SQRT($B$13*$B$9/E90)</f>
        <v>3.8376434884304675</v>
      </c>
      <c r="G90" s="482">
        <f t="shared" ref="G90:G96" si="2">SQRT($C$13*$C$9/E90)</f>
        <v>4.4313290021982903</v>
      </c>
      <c r="H90" t="str">
        <f t="shared" ref="H90:H96" si="3">IF(AND(F90&lt;=$B$8*0.8,G90&lt;=$C$8*0.8),"✓ Both",IF(G90&lt;=$C$8*0.8,"✓ Med only","⚠️ Too long"))</f>
        <v>✓ Both</v>
      </c>
      <c r="I90" s="481">
        <f t="shared" ref="I90:I96" si="4">F90/($B$7/2)*180/PI()</f>
        <v>73.293591720976053</v>
      </c>
      <c r="J90" s="481">
        <f t="shared" ref="J90:J96" si="5">G90/($C$7/2)*180/PI()</f>
        <v>42.31607490998006</v>
      </c>
    </row>
    <row r="91" spans="1:10" x14ac:dyDescent="0.2">
      <c r="A91">
        <v>3</v>
      </c>
      <c r="B91">
        <v>5</v>
      </c>
      <c r="C91" t="s">
        <v>79</v>
      </c>
      <c r="D91">
        <f>$B$15+5</f>
        <v>77</v>
      </c>
      <c r="E91" s="481">
        <f t="shared" si="0"/>
        <v>698.45646286600777</v>
      </c>
      <c r="F91" s="482">
        <f t="shared" si="1"/>
        <v>3.6222531099596842</v>
      </c>
      <c r="G91" s="482">
        <f t="shared" si="2"/>
        <v>4.1826176162163655</v>
      </c>
      <c r="H91" t="str">
        <f t="shared" si="3"/>
        <v>✓ Both</v>
      </c>
      <c r="I91" s="481">
        <f t="shared" si="4"/>
        <v>69.179938509608931</v>
      </c>
      <c r="J91" s="481">
        <f t="shared" si="5"/>
        <v>39.941056121044475</v>
      </c>
    </row>
    <row r="92" spans="1:10" x14ac:dyDescent="0.2">
      <c r="A92">
        <v>4</v>
      </c>
      <c r="B92">
        <v>7</v>
      </c>
      <c r="C92" t="s">
        <v>64</v>
      </c>
      <c r="D92">
        <f>$B$15+7</f>
        <v>79</v>
      </c>
      <c r="E92" s="481">
        <f t="shared" si="0"/>
        <v>783.99087196349853</v>
      </c>
      <c r="F92" s="482">
        <f t="shared" si="1"/>
        <v>3.4189516645223237</v>
      </c>
      <c r="G92" s="482">
        <f t="shared" si="2"/>
        <v>3.9478653277165652</v>
      </c>
      <c r="H92" t="str">
        <f t="shared" si="3"/>
        <v>✓ Both</v>
      </c>
      <c r="I92" s="481">
        <f t="shared" si="4"/>
        <v>65.297166912118954</v>
      </c>
      <c r="J92" s="481">
        <f t="shared" si="5"/>
        <v>37.699336894031802</v>
      </c>
    </row>
    <row r="93" spans="1:10" x14ac:dyDescent="0.2">
      <c r="A93">
        <v>5</v>
      </c>
      <c r="B93">
        <v>8</v>
      </c>
      <c r="C93" t="s">
        <v>1020</v>
      </c>
      <c r="D93">
        <f>$B$15+8</f>
        <v>80</v>
      </c>
      <c r="E93" s="481">
        <f t="shared" si="0"/>
        <v>830.60939515989025</v>
      </c>
      <c r="F93" s="482">
        <f t="shared" si="1"/>
        <v>3.3216207473437249</v>
      </c>
      <c r="G93" s="482">
        <f t="shared" si="2"/>
        <v>3.8354772652494913</v>
      </c>
      <c r="H93" t="str">
        <f t="shared" si="3"/>
        <v>✓ Both</v>
      </c>
      <c r="I93" s="481">
        <f t="shared" si="4"/>
        <v>63.438283321961933</v>
      </c>
      <c r="J93" s="481">
        <f t="shared" si="5"/>
        <v>36.626109952862471</v>
      </c>
    </row>
    <row r="94" spans="1:10" x14ac:dyDescent="0.2">
      <c r="A94">
        <v>6</v>
      </c>
      <c r="B94">
        <v>10</v>
      </c>
      <c r="C94" t="s">
        <v>1016</v>
      </c>
      <c r="D94">
        <f>$B$15+10</f>
        <v>82</v>
      </c>
      <c r="E94" s="481">
        <f t="shared" si="0"/>
        <v>932.32752303617963</v>
      </c>
      <c r="F94" s="482">
        <f t="shared" si="1"/>
        <v>3.1351924998883121</v>
      </c>
      <c r="G94" s="482">
        <f t="shared" si="2"/>
        <v>3.620208467543625</v>
      </c>
      <c r="H94" t="str">
        <f t="shared" si="3"/>
        <v>✓ Both</v>
      </c>
      <c r="I94" s="481">
        <f t="shared" si="4"/>
        <v>59.877766068223366</v>
      </c>
      <c r="J94" s="481">
        <f t="shared" si="5"/>
        <v>34.570444357962202</v>
      </c>
    </row>
    <row r="95" spans="1:10" x14ac:dyDescent="0.2">
      <c r="A95">
        <v>7</v>
      </c>
      <c r="B95">
        <v>12</v>
      </c>
      <c r="C95" t="s">
        <v>73</v>
      </c>
      <c r="D95">
        <f>$B$15+12</f>
        <v>84</v>
      </c>
      <c r="E95" s="481">
        <f t="shared" si="0"/>
        <v>1046.5022612023945</v>
      </c>
      <c r="F95" s="482">
        <f t="shared" si="1"/>
        <v>2.9592276659568806</v>
      </c>
      <c r="G95" s="482">
        <f t="shared" si="2"/>
        <v>3.417021779067186</v>
      </c>
      <c r="H95" t="str">
        <f t="shared" si="3"/>
        <v>✓ Both</v>
      </c>
      <c r="I95" s="481">
        <f t="shared" si="4"/>
        <v>56.51708529255955</v>
      </c>
      <c r="J95" s="481">
        <f t="shared" si="5"/>
        <v>32.630154407472297</v>
      </c>
    </row>
    <row r="96" spans="1:10" x14ac:dyDescent="0.2">
      <c r="A96">
        <v>8</v>
      </c>
      <c r="B96">
        <v>15</v>
      </c>
      <c r="C96" t="s">
        <v>1018</v>
      </c>
      <c r="D96">
        <f>$B$15+15</f>
        <v>87</v>
      </c>
      <c r="E96" s="481">
        <f t="shared" si="0"/>
        <v>1244.5079348883235</v>
      </c>
      <c r="F96" s="482">
        <f t="shared" si="1"/>
        <v>2.7136237344455818</v>
      </c>
      <c r="G96" s="482">
        <f t="shared" si="2"/>
        <v>3.1334227871230285</v>
      </c>
      <c r="H96" t="str">
        <f t="shared" si="3"/>
        <v>✓ Both</v>
      </c>
      <c r="I96" s="481">
        <f t="shared" si="4"/>
        <v>51.826395723420369</v>
      </c>
      <c r="J96" s="481">
        <f t="shared" si="5"/>
        <v>29.921983522044819</v>
      </c>
    </row>
    <row r="98" spans="1:5" ht="15" x14ac:dyDescent="0.25">
      <c r="A98" s="749" t="s">
        <v>3864</v>
      </c>
      <c r="B98" s="750"/>
      <c r="C98" s="750"/>
      <c r="D98" s="750"/>
      <c r="E98" s="750"/>
    </row>
    <row r="99" spans="1:5" x14ac:dyDescent="0.2">
      <c r="A99" s="475" t="s">
        <v>610</v>
      </c>
      <c r="B99" s="475" t="s">
        <v>1544</v>
      </c>
      <c r="C99" s="475" t="s">
        <v>1545</v>
      </c>
      <c r="D99" s="475" t="s">
        <v>1546</v>
      </c>
      <c r="E99" s="475" t="s">
        <v>2704</v>
      </c>
    </row>
    <row r="100" spans="1:5" x14ac:dyDescent="0.2">
      <c r="A100">
        <v>1</v>
      </c>
      <c r="B100" t="s">
        <v>3865</v>
      </c>
      <c r="C100" t="s">
        <v>3866</v>
      </c>
      <c r="D100">
        <f>B81</f>
        <v>12</v>
      </c>
      <c r="E100" t="s">
        <v>3867</v>
      </c>
    </row>
    <row r="101" spans="1:5" x14ac:dyDescent="0.2">
      <c r="A101">
        <v>2</v>
      </c>
      <c r="B101" t="s">
        <v>3865</v>
      </c>
      <c r="C101" t="s">
        <v>3868</v>
      </c>
      <c r="D101">
        <v>2</v>
      </c>
      <c r="E101" t="s">
        <v>3869</v>
      </c>
    </row>
    <row r="102" spans="1:5" x14ac:dyDescent="0.2">
      <c r="A102">
        <v>3</v>
      </c>
      <c r="B102" t="s">
        <v>3865</v>
      </c>
      <c r="C102" t="s">
        <v>3870</v>
      </c>
      <c r="D102">
        <v>1</v>
      </c>
      <c r="E102" t="s">
        <v>3871</v>
      </c>
    </row>
    <row r="103" spans="1:5" x14ac:dyDescent="0.2">
      <c r="A103">
        <v>4</v>
      </c>
      <c r="B103" t="s">
        <v>3872</v>
      </c>
      <c r="C103" t="s">
        <v>3873</v>
      </c>
      <c r="D103" s="695">
        <v>46024</v>
      </c>
      <c r="E103" t="s">
        <v>3874</v>
      </c>
    </row>
    <row r="104" spans="1:5" x14ac:dyDescent="0.2">
      <c r="A104">
        <v>5</v>
      </c>
      <c r="B104" t="s">
        <v>3872</v>
      </c>
      <c r="C104" t="s">
        <v>3875</v>
      </c>
      <c r="D104" s="695">
        <v>46024</v>
      </c>
      <c r="E104" t="s">
        <v>3876</v>
      </c>
    </row>
    <row r="105" spans="1:5" x14ac:dyDescent="0.2">
      <c r="A105">
        <v>6</v>
      </c>
      <c r="B105" t="s">
        <v>3877</v>
      </c>
      <c r="C105" t="s">
        <v>3878</v>
      </c>
      <c r="D105">
        <v>1</v>
      </c>
      <c r="E105" t="s">
        <v>3879</v>
      </c>
    </row>
    <row r="106" spans="1:5" x14ac:dyDescent="0.2">
      <c r="A106">
        <v>7</v>
      </c>
      <c r="B106" t="s">
        <v>1557</v>
      </c>
      <c r="C106" t="s">
        <v>3880</v>
      </c>
      <c r="D106">
        <v>4</v>
      </c>
      <c r="E106" t="s">
        <v>3881</v>
      </c>
    </row>
    <row r="107" spans="1:5" x14ac:dyDescent="0.2">
      <c r="A107">
        <v>8</v>
      </c>
      <c r="B107" t="s">
        <v>1613</v>
      </c>
      <c r="C107" t="s">
        <v>3481</v>
      </c>
      <c r="D107">
        <v>1</v>
      </c>
      <c r="E107" t="s">
        <v>3882</v>
      </c>
    </row>
    <row r="109" spans="1:5" ht="15" x14ac:dyDescent="0.25">
      <c r="A109" s="749" t="s">
        <v>1849</v>
      </c>
      <c r="B109" s="750"/>
      <c r="C109" s="750"/>
      <c r="D109" s="750"/>
      <c r="E109" s="750"/>
    </row>
    <row r="110" spans="1:5" x14ac:dyDescent="0.2">
      <c r="A110" s="475" t="s">
        <v>1622</v>
      </c>
      <c r="B110" s="475" t="s">
        <v>1623</v>
      </c>
      <c r="C110" s="475" t="s">
        <v>1624</v>
      </c>
      <c r="D110" s="475" t="s">
        <v>1484</v>
      </c>
      <c r="E110" s="475" t="s">
        <v>2</v>
      </c>
    </row>
    <row r="111" spans="1:5" x14ac:dyDescent="0.2">
      <c r="A111">
        <v>1</v>
      </c>
      <c r="B111" t="s">
        <v>1642</v>
      </c>
      <c r="C111" t="s">
        <v>3883</v>
      </c>
      <c r="D111" t="s">
        <v>3324</v>
      </c>
      <c r="E111" t="s">
        <v>3884</v>
      </c>
    </row>
    <row r="112" spans="1:5" x14ac:dyDescent="0.2">
      <c r="A112">
        <v>2</v>
      </c>
      <c r="B112" t="s">
        <v>1642</v>
      </c>
      <c r="C112" t="s">
        <v>3885</v>
      </c>
      <c r="D112" t="s">
        <v>1862</v>
      </c>
      <c r="E112" t="s">
        <v>3886</v>
      </c>
    </row>
    <row r="113" spans="1:5" x14ac:dyDescent="0.2">
      <c r="A113">
        <v>3</v>
      </c>
      <c r="B113" t="s">
        <v>3887</v>
      </c>
      <c r="C113" t="s">
        <v>3888</v>
      </c>
      <c r="D113" t="s">
        <v>3679</v>
      </c>
      <c r="E113" t="s">
        <v>3889</v>
      </c>
    </row>
    <row r="114" spans="1:5" x14ac:dyDescent="0.2">
      <c r="A114">
        <v>4</v>
      </c>
      <c r="B114" t="s">
        <v>3890</v>
      </c>
      <c r="C114" t="s">
        <v>3891</v>
      </c>
      <c r="D114" t="s">
        <v>3339</v>
      </c>
      <c r="E114" t="s">
        <v>3892</v>
      </c>
    </row>
    <row r="115" spans="1:5" x14ac:dyDescent="0.2">
      <c r="A115">
        <v>5</v>
      </c>
      <c r="B115" t="s">
        <v>3893</v>
      </c>
      <c r="C115" t="s">
        <v>3894</v>
      </c>
      <c r="D115" t="s">
        <v>3895</v>
      </c>
      <c r="E115" t="s">
        <v>3896</v>
      </c>
    </row>
    <row r="116" spans="1:5" x14ac:dyDescent="0.2">
      <c r="A116">
        <v>6</v>
      </c>
      <c r="B116" t="s">
        <v>3808</v>
      </c>
      <c r="C116" t="s">
        <v>3897</v>
      </c>
      <c r="D116" t="s">
        <v>3898</v>
      </c>
      <c r="E116" t="s">
        <v>3899</v>
      </c>
    </row>
    <row r="117" spans="1:5" x14ac:dyDescent="0.2">
      <c r="A117">
        <v>7</v>
      </c>
      <c r="B117" t="s">
        <v>3900</v>
      </c>
      <c r="C117" t="s">
        <v>3901</v>
      </c>
      <c r="D117" t="s">
        <v>3655</v>
      </c>
      <c r="E117" t="s">
        <v>3902</v>
      </c>
    </row>
    <row r="118" spans="1:5" x14ac:dyDescent="0.2">
      <c r="A118">
        <v>8</v>
      </c>
      <c r="B118" t="s">
        <v>3900</v>
      </c>
      <c r="C118" t="s">
        <v>3903</v>
      </c>
      <c r="D118" t="s">
        <v>3904</v>
      </c>
      <c r="E118" t="s">
        <v>3905</v>
      </c>
    </row>
    <row r="119" spans="1:5" x14ac:dyDescent="0.2">
      <c r="A119">
        <v>9</v>
      </c>
      <c r="B119" t="s">
        <v>2410</v>
      </c>
      <c r="C119" t="s">
        <v>3906</v>
      </c>
      <c r="D119" t="s">
        <v>3907</v>
      </c>
      <c r="E119" t="s">
        <v>3908</v>
      </c>
    </row>
    <row r="120" spans="1:5" x14ac:dyDescent="0.2">
      <c r="A120">
        <v>10</v>
      </c>
      <c r="B120" t="s">
        <v>2410</v>
      </c>
      <c r="C120" t="s">
        <v>3909</v>
      </c>
      <c r="D120" t="s">
        <v>3507</v>
      </c>
      <c r="E120" t="s">
        <v>3910</v>
      </c>
    </row>
    <row r="121" spans="1:5" x14ac:dyDescent="0.2">
      <c r="A121">
        <v>11</v>
      </c>
      <c r="B121" t="s">
        <v>3872</v>
      </c>
      <c r="C121" t="s">
        <v>3911</v>
      </c>
      <c r="D121" t="s">
        <v>3912</v>
      </c>
      <c r="E121" t="s">
        <v>3913</v>
      </c>
    </row>
    <row r="122" spans="1:5" x14ac:dyDescent="0.2">
      <c r="A122">
        <v>12</v>
      </c>
      <c r="B122" t="s">
        <v>1595</v>
      </c>
      <c r="C122" t="s">
        <v>3914</v>
      </c>
      <c r="D122" t="s">
        <v>3510</v>
      </c>
      <c r="E122" t="s">
        <v>3915</v>
      </c>
    </row>
    <row r="123" spans="1:5" x14ac:dyDescent="0.2">
      <c r="A123">
        <v>13</v>
      </c>
      <c r="B123" t="s">
        <v>1595</v>
      </c>
      <c r="C123" t="s">
        <v>3916</v>
      </c>
      <c r="D123" t="s">
        <v>3227</v>
      </c>
      <c r="E123" t="s">
        <v>3917</v>
      </c>
    </row>
    <row r="125" spans="1:5" ht="15" x14ac:dyDescent="0.25">
      <c r="A125" s="751" t="s">
        <v>1532</v>
      </c>
      <c r="B125" s="752"/>
      <c r="C125" s="752"/>
      <c r="D125" s="752"/>
      <c r="E125" s="752"/>
    </row>
    <row r="126" spans="1:5" x14ac:dyDescent="0.2">
      <c r="A126" s="472" t="s">
        <v>3918</v>
      </c>
    </row>
    <row r="127" spans="1:5" x14ac:dyDescent="0.2">
      <c r="A127" t="s">
        <v>3919</v>
      </c>
    </row>
    <row r="128" spans="1:5" x14ac:dyDescent="0.2">
      <c r="A128" t="s">
        <v>3920</v>
      </c>
    </row>
    <row r="129" spans="1:1" x14ac:dyDescent="0.2">
      <c r="A129" t="s">
        <v>3921</v>
      </c>
    </row>
    <row r="130" spans="1:1" x14ac:dyDescent="0.2">
      <c r="A130" t="s">
        <v>3922</v>
      </c>
    </row>
    <row r="131" spans="1:1" x14ac:dyDescent="0.2">
      <c r="A131" t="s">
        <v>3923</v>
      </c>
    </row>
    <row r="132" spans="1:1" x14ac:dyDescent="0.2">
      <c r="A132" t="s">
        <v>3924</v>
      </c>
    </row>
    <row r="133" spans="1:1" x14ac:dyDescent="0.2">
      <c r="A133" t="s">
        <v>3925</v>
      </c>
    </row>
    <row r="134" spans="1:1" x14ac:dyDescent="0.2">
      <c r="A134" t="s">
        <v>3926</v>
      </c>
    </row>
    <row r="135" spans="1:1" x14ac:dyDescent="0.2">
      <c r="A135" t="s">
        <v>3927</v>
      </c>
    </row>
    <row r="136" spans="1:1" x14ac:dyDescent="0.2">
      <c r="A136" t="s">
        <v>3928</v>
      </c>
    </row>
    <row r="137" spans="1:1" x14ac:dyDescent="0.2">
      <c r="A137" t="s">
        <v>3929</v>
      </c>
    </row>
    <row r="140" spans="1:1" ht="18" x14ac:dyDescent="0.25">
      <c r="A140" s="833" t="s">
        <v>6873</v>
      </c>
    </row>
    <row r="141" spans="1:1" x14ac:dyDescent="0.2">
      <c r="A141" s="734" t="s">
        <v>6874</v>
      </c>
    </row>
    <row r="143" spans="1:1" x14ac:dyDescent="0.2">
      <c r="A143" s="609" t="s">
        <v>6355</v>
      </c>
    </row>
    <row r="144" spans="1:1" x14ac:dyDescent="0.2">
      <c r="A144" t="s">
        <v>6875</v>
      </c>
    </row>
    <row r="145" spans="1:1" x14ac:dyDescent="0.2">
      <c r="A145" t="s">
        <v>6876</v>
      </c>
    </row>
    <row r="146" spans="1:1" x14ac:dyDescent="0.2">
      <c r="A146" t="s">
        <v>6877</v>
      </c>
    </row>
    <row r="148" spans="1:1" x14ac:dyDescent="0.2">
      <c r="A148" s="609" t="s">
        <v>6359</v>
      </c>
    </row>
    <row r="149" spans="1:1" x14ac:dyDescent="0.2">
      <c r="A149" t="s">
        <v>6878</v>
      </c>
    </row>
    <row r="150" spans="1:1" x14ac:dyDescent="0.2">
      <c r="A150" t="s">
        <v>6879</v>
      </c>
    </row>
    <row r="151" spans="1:1" x14ac:dyDescent="0.2">
      <c r="A151" t="s">
        <v>6880</v>
      </c>
    </row>
    <row r="152" spans="1:1" x14ac:dyDescent="0.2">
      <c r="A152" t="s">
        <v>6881</v>
      </c>
    </row>
    <row r="154" spans="1:1" x14ac:dyDescent="0.2">
      <c r="A154" s="609" t="s">
        <v>6882</v>
      </c>
    </row>
    <row r="155" spans="1:1" x14ac:dyDescent="0.2">
      <c r="A155" t="s">
        <v>6883</v>
      </c>
    </row>
    <row r="156" spans="1:1" x14ac:dyDescent="0.2">
      <c r="A156" t="s">
        <v>6884</v>
      </c>
    </row>
    <row r="157" spans="1:1" x14ac:dyDescent="0.2">
      <c r="A157" t="s">
        <v>6885</v>
      </c>
    </row>
    <row r="159" spans="1:1" x14ac:dyDescent="0.2">
      <c r="A159" s="609" t="s">
        <v>6658</v>
      </c>
    </row>
    <row r="160" spans="1:1" x14ac:dyDescent="0.2">
      <c r="A160" t="s">
        <v>6886</v>
      </c>
    </row>
    <row r="161" spans="1:1" x14ac:dyDescent="0.2">
      <c r="A161" t="s">
        <v>6887</v>
      </c>
    </row>
    <row r="163" spans="1:1" x14ac:dyDescent="0.2">
      <c r="A163" s="609" t="s">
        <v>6661</v>
      </c>
    </row>
    <row r="164" spans="1:1" x14ac:dyDescent="0.2">
      <c r="A164" t="s">
        <v>6888</v>
      </c>
    </row>
    <row r="165" spans="1:1" x14ac:dyDescent="0.2">
      <c r="A165" t="s">
        <v>6889</v>
      </c>
    </row>
    <row r="166" spans="1:1" x14ac:dyDescent="0.2">
      <c r="A166" t="s">
        <v>6890</v>
      </c>
    </row>
    <row r="168" spans="1:1" x14ac:dyDescent="0.2">
      <c r="A168" s="609" t="s">
        <v>6682</v>
      </c>
    </row>
    <row r="169" spans="1:1" x14ac:dyDescent="0.2">
      <c r="A169" t="s">
        <v>6891</v>
      </c>
    </row>
    <row r="172" spans="1:1" ht="18" x14ac:dyDescent="0.25">
      <c r="A172" s="838" t="s">
        <v>7347</v>
      </c>
    </row>
    <row r="173" spans="1:1" x14ac:dyDescent="0.2">
      <c r="A173" s="734" t="s">
        <v>7348</v>
      </c>
    </row>
    <row r="175" spans="1:1" x14ac:dyDescent="0.2">
      <c r="A175" s="839" t="s">
        <v>7349</v>
      </c>
    </row>
    <row r="176" spans="1:1" x14ac:dyDescent="0.2">
      <c r="A176" s="842" t="s">
        <v>7350</v>
      </c>
    </row>
    <row r="177" spans="1:1" x14ac:dyDescent="0.2">
      <c r="A177" t="s">
        <v>7351</v>
      </c>
    </row>
    <row r="178" spans="1:1" x14ac:dyDescent="0.2">
      <c r="A178" t="s">
        <v>7352</v>
      </c>
    </row>
    <row r="180" spans="1:1" x14ac:dyDescent="0.2">
      <c r="A180" s="839" t="s">
        <v>7353</v>
      </c>
    </row>
    <row r="181" spans="1:1" x14ac:dyDescent="0.2">
      <c r="A181" s="842" t="s">
        <v>7354</v>
      </c>
    </row>
    <row r="182" spans="1:1" x14ac:dyDescent="0.2">
      <c r="A182" t="s">
        <v>7355</v>
      </c>
    </row>
    <row r="184" spans="1:1" x14ac:dyDescent="0.2">
      <c r="A184" s="839" t="s">
        <v>7356</v>
      </c>
    </row>
    <row r="185" spans="1:1" x14ac:dyDescent="0.2">
      <c r="A185" s="842" t="s">
        <v>7357</v>
      </c>
    </row>
    <row r="186" spans="1:1" x14ac:dyDescent="0.2">
      <c r="A186" t="s">
        <v>7358</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HG85"/>
  <sheetViews>
    <sheetView showGridLines="0" workbookViewId="0"/>
  </sheetViews>
  <sheetFormatPr defaultColWidth="12.5703125" defaultRowHeight="15" customHeight="1" x14ac:dyDescent="0.2"/>
  <sheetData>
    <row r="1" spans="1:215" ht="15" customHeight="1" x14ac:dyDescent="0.2">
      <c r="A1" s="454" t="s">
        <v>278</v>
      </c>
      <c r="B1" s="454" t="s">
        <v>814</v>
      </c>
      <c r="C1" s="455" t="s">
        <v>815</v>
      </c>
      <c r="D1" s="455" t="s">
        <v>816</v>
      </c>
      <c r="E1" s="456"/>
      <c r="F1" s="456"/>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c r="BM1" s="456"/>
      <c r="BN1" s="456"/>
      <c r="BO1" s="456"/>
      <c r="BP1" s="456"/>
      <c r="BQ1" s="456"/>
      <c r="BR1" s="456"/>
      <c r="BS1" s="456"/>
      <c r="BT1" s="456"/>
      <c r="BU1" s="456"/>
      <c r="BV1" s="456"/>
      <c r="BW1" s="456"/>
      <c r="BX1" s="456"/>
      <c r="BY1" s="456"/>
      <c r="BZ1" s="456"/>
      <c r="CA1" s="456"/>
      <c r="CB1" s="456"/>
      <c r="CC1" s="456"/>
      <c r="CD1" s="456"/>
      <c r="CE1" s="456"/>
      <c r="CF1" s="456"/>
      <c r="CG1" s="456"/>
      <c r="CH1" s="456"/>
      <c r="CI1" s="456"/>
      <c r="CJ1" s="456"/>
      <c r="CK1" s="456"/>
      <c r="CL1" s="456"/>
      <c r="CM1" s="456"/>
      <c r="CN1" s="456"/>
      <c r="CO1" s="456"/>
      <c r="CP1" s="456"/>
      <c r="CQ1" s="456"/>
      <c r="CR1" s="456"/>
      <c r="CS1" s="456"/>
      <c r="CT1" s="456"/>
      <c r="CU1" s="456"/>
      <c r="CV1" s="456"/>
      <c r="CW1" s="456"/>
      <c r="CX1" s="456"/>
      <c r="CY1" s="456"/>
      <c r="CZ1" s="456"/>
      <c r="DA1" s="456"/>
      <c r="DB1" s="456"/>
      <c r="DC1" s="456"/>
      <c r="DD1" s="456"/>
      <c r="DE1" s="456"/>
      <c r="DF1" s="456"/>
      <c r="DG1" s="456"/>
      <c r="DH1" s="456"/>
      <c r="DI1" s="456"/>
      <c r="DJ1" s="456"/>
      <c r="DK1" s="456"/>
      <c r="DL1" s="456"/>
      <c r="DM1" s="456"/>
      <c r="DN1" s="456"/>
      <c r="DO1" s="456"/>
      <c r="DP1" s="456"/>
      <c r="DQ1" s="456"/>
      <c r="DR1" s="456"/>
      <c r="DS1" s="456"/>
      <c r="DT1" s="456"/>
      <c r="DU1" s="456"/>
      <c r="DV1" s="456"/>
      <c r="DW1" s="456"/>
      <c r="DX1" s="456"/>
      <c r="DY1" s="456"/>
      <c r="DZ1" s="456"/>
      <c r="EA1" s="456"/>
      <c r="EB1" s="456"/>
      <c r="EC1" s="456"/>
      <c r="ED1" s="456"/>
      <c r="EE1" s="456"/>
      <c r="EF1" s="456"/>
      <c r="EG1" s="456"/>
      <c r="EH1" s="456"/>
      <c r="EI1" s="456"/>
      <c r="EJ1" s="456"/>
      <c r="EK1" s="456"/>
      <c r="EL1" s="456"/>
      <c r="EM1" s="456"/>
      <c r="EN1" s="456"/>
      <c r="EO1" s="456"/>
      <c r="EP1" s="456"/>
      <c r="EQ1" s="456"/>
      <c r="ER1" s="456"/>
      <c r="ES1" s="456"/>
      <c r="ET1" s="456"/>
      <c r="EU1" s="456"/>
      <c r="EV1" s="456"/>
      <c r="EW1" s="456"/>
      <c r="EX1" s="456"/>
      <c r="EY1" s="456"/>
      <c r="EZ1" s="456"/>
      <c r="FA1" s="456"/>
      <c r="FB1" s="456"/>
      <c r="FC1" s="456"/>
      <c r="FD1" s="456"/>
      <c r="FE1" s="456"/>
      <c r="FF1" s="456"/>
      <c r="FG1" s="456"/>
      <c r="FH1" s="456"/>
      <c r="FI1" s="456"/>
      <c r="FJ1" s="456"/>
      <c r="FK1" s="456"/>
      <c r="FL1" s="456"/>
      <c r="FM1" s="456"/>
      <c r="FN1" s="456"/>
      <c r="FO1" s="456"/>
      <c r="FP1" s="456"/>
      <c r="FQ1" s="456"/>
      <c r="FR1" s="456"/>
      <c r="FS1" s="456"/>
      <c r="FT1" s="456"/>
      <c r="FU1" s="456"/>
      <c r="FV1" s="456"/>
      <c r="FW1" s="456"/>
      <c r="FX1" s="456"/>
      <c r="FY1" s="456"/>
      <c r="FZ1" s="456"/>
      <c r="GA1" s="456"/>
      <c r="GB1" s="456"/>
      <c r="GC1" s="456"/>
      <c r="GD1" s="456"/>
      <c r="GE1" s="456"/>
      <c r="GF1" s="456"/>
      <c r="GG1" s="456"/>
      <c r="GH1" s="456"/>
      <c r="GI1" s="456"/>
      <c r="GJ1" s="456"/>
      <c r="GK1" s="456"/>
      <c r="GL1" s="456"/>
      <c r="GM1" s="456"/>
      <c r="GN1" s="456"/>
      <c r="GO1" s="456"/>
      <c r="GP1" s="456"/>
      <c r="GQ1" s="456"/>
      <c r="GR1" s="456"/>
      <c r="GS1" s="456"/>
      <c r="GT1" s="456"/>
      <c r="GU1" s="456"/>
      <c r="GV1" s="456"/>
      <c r="GW1" s="456"/>
      <c r="GX1" s="456"/>
      <c r="GY1" s="456"/>
      <c r="GZ1" s="456"/>
      <c r="HA1" s="456"/>
      <c r="HB1" s="456"/>
      <c r="HC1" s="456"/>
      <c r="HD1" s="456"/>
      <c r="HE1" s="456"/>
      <c r="HF1" s="456"/>
      <c r="HG1" s="457"/>
    </row>
    <row r="2" spans="1:215" ht="15" customHeight="1" x14ac:dyDescent="0.2">
      <c r="A2" s="458"/>
      <c r="B2" s="459">
        <v>-0.56719994382919481</v>
      </c>
      <c r="C2" s="456"/>
      <c r="D2" s="459" t="s">
        <v>817</v>
      </c>
      <c r="E2" s="459">
        <v>3.5000000000000003E-2</v>
      </c>
      <c r="F2" s="456"/>
      <c r="G2" s="459" t="s">
        <v>279</v>
      </c>
      <c r="H2" s="459">
        <v>0.22500000000000001</v>
      </c>
      <c r="I2" s="456"/>
      <c r="J2" s="459" t="s">
        <v>280</v>
      </c>
      <c r="K2" s="459">
        <v>0.25</v>
      </c>
      <c r="L2" s="456"/>
      <c r="M2" s="459" t="s">
        <v>281</v>
      </c>
      <c r="N2" s="459">
        <v>0.26250000000000001</v>
      </c>
      <c r="O2" s="456"/>
      <c r="P2" s="459" t="s">
        <v>818</v>
      </c>
      <c r="Q2" s="459">
        <v>0.3</v>
      </c>
      <c r="R2" s="456"/>
      <c r="S2" s="459" t="s">
        <v>819</v>
      </c>
      <c r="T2" s="459">
        <v>0.33333333333333331</v>
      </c>
      <c r="U2" s="456"/>
      <c r="V2" s="459" t="s">
        <v>820</v>
      </c>
      <c r="W2" s="459">
        <v>0.42499999999999999</v>
      </c>
      <c r="X2" s="456"/>
      <c r="Y2" s="459" t="s">
        <v>282</v>
      </c>
      <c r="Z2" s="459">
        <v>0.5</v>
      </c>
      <c r="AA2" s="456"/>
      <c r="AB2" s="459" t="s">
        <v>821</v>
      </c>
      <c r="AC2" s="459">
        <v>0.75</v>
      </c>
      <c r="AD2" s="456"/>
      <c r="AE2" s="459" t="s">
        <v>822</v>
      </c>
      <c r="AF2" s="459">
        <v>0.78537500000000005</v>
      </c>
      <c r="AG2" s="456"/>
      <c r="AH2" s="459" t="s">
        <v>823</v>
      </c>
      <c r="AI2" s="459">
        <v>0.875</v>
      </c>
      <c r="AJ2" s="456"/>
      <c r="AK2" s="459" t="s">
        <v>283</v>
      </c>
      <c r="AL2" s="459">
        <v>1</v>
      </c>
      <c r="AM2" s="456"/>
      <c r="AN2" s="456"/>
      <c r="AO2" s="456"/>
      <c r="AP2" s="459" t="s">
        <v>824</v>
      </c>
      <c r="AQ2" s="459">
        <v>1.3851083073059156</v>
      </c>
      <c r="AR2" s="456"/>
      <c r="AS2" s="459" t="s">
        <v>825</v>
      </c>
      <c r="AT2" s="459">
        <v>1.4260000000000019</v>
      </c>
      <c r="AU2" s="456"/>
      <c r="AV2" s="459" t="s">
        <v>826</v>
      </c>
      <c r="AW2" s="459">
        <v>1.4269999999999978</v>
      </c>
      <c r="AX2" s="456"/>
      <c r="AY2" s="459" t="s">
        <v>827</v>
      </c>
      <c r="AZ2" s="459">
        <v>1.45</v>
      </c>
      <c r="BA2" s="456"/>
      <c r="BB2" s="459" t="s">
        <v>828</v>
      </c>
      <c r="BC2" s="459">
        <v>1.5</v>
      </c>
      <c r="BD2" s="456"/>
      <c r="BE2" s="459" t="s">
        <v>829</v>
      </c>
      <c r="BF2" s="459">
        <v>1.7070695530814692</v>
      </c>
      <c r="BG2" s="456"/>
      <c r="BH2" s="459" t="s">
        <v>830</v>
      </c>
      <c r="BI2" s="459">
        <v>1.8400000000000034</v>
      </c>
      <c r="BJ2" s="456"/>
      <c r="BK2" s="459" t="s">
        <v>284</v>
      </c>
      <c r="BL2" s="459">
        <v>1.8440000000000012</v>
      </c>
      <c r="BM2" s="456"/>
      <c r="BN2" s="459" t="s">
        <v>831</v>
      </c>
      <c r="BO2" s="459">
        <v>2.1749999999999972</v>
      </c>
      <c r="BP2" s="456"/>
      <c r="BQ2" s="459" t="s">
        <v>832</v>
      </c>
      <c r="BR2" s="459">
        <v>2.625</v>
      </c>
      <c r="BS2" s="456"/>
      <c r="BT2" s="459" t="s">
        <v>833</v>
      </c>
      <c r="BU2" s="459">
        <v>3.5</v>
      </c>
      <c r="BV2" s="456"/>
      <c r="BW2" s="459" t="s">
        <v>834</v>
      </c>
      <c r="BX2" s="459">
        <v>3.625</v>
      </c>
      <c r="BY2" s="456"/>
      <c r="BZ2" s="459" t="s">
        <v>285</v>
      </c>
      <c r="CA2" s="459">
        <v>4.25</v>
      </c>
      <c r="CB2" s="456"/>
      <c r="CC2" s="459" t="s">
        <v>286</v>
      </c>
      <c r="CD2" s="459">
        <v>4.625</v>
      </c>
      <c r="CE2" s="456"/>
      <c r="CF2" s="459" t="s">
        <v>287</v>
      </c>
      <c r="CG2" s="459">
        <v>6.6</v>
      </c>
      <c r="CH2" s="456"/>
      <c r="CI2" s="459" t="s">
        <v>835</v>
      </c>
      <c r="CJ2" s="459">
        <v>8.44</v>
      </c>
      <c r="CK2" s="456"/>
      <c r="CL2" s="459" t="s">
        <v>836</v>
      </c>
      <c r="CM2" s="459">
        <v>10.284000000000001</v>
      </c>
      <c r="CN2" s="456"/>
      <c r="CO2" s="459" t="s">
        <v>288</v>
      </c>
      <c r="CP2" s="459">
        <v>12.459</v>
      </c>
      <c r="CQ2" s="456"/>
      <c r="CR2" s="459" t="s">
        <v>289</v>
      </c>
      <c r="CS2" s="459">
        <v>13.885</v>
      </c>
      <c r="CT2" s="456"/>
      <c r="CU2" s="459" t="s">
        <v>290</v>
      </c>
      <c r="CV2" s="459">
        <v>14.629276256481079</v>
      </c>
      <c r="CW2" s="456"/>
      <c r="CX2" s="459" t="s">
        <v>837</v>
      </c>
      <c r="CY2" s="459">
        <v>15.311999999999999</v>
      </c>
      <c r="CZ2" s="456"/>
      <c r="DA2" s="459" t="s">
        <v>291</v>
      </c>
      <c r="DB2" s="459">
        <v>16.056276256481077</v>
      </c>
      <c r="DC2" s="456"/>
      <c r="DD2" s="459" t="s">
        <v>838</v>
      </c>
      <c r="DE2" s="459">
        <v>17.330301714933828</v>
      </c>
      <c r="DF2" s="456"/>
      <c r="DG2" s="459" t="s">
        <v>839</v>
      </c>
      <c r="DH2" s="459">
        <v>17.482276256481079</v>
      </c>
      <c r="DI2" s="456"/>
      <c r="DJ2" s="459" t="s">
        <v>840</v>
      </c>
      <c r="DK2" s="459">
        <v>19.657276256481076</v>
      </c>
      <c r="DL2" s="456"/>
      <c r="DM2" s="459" t="s">
        <v>841</v>
      </c>
      <c r="DN2" s="459">
        <v>21.501276256481077</v>
      </c>
      <c r="DO2" s="456"/>
      <c r="DP2" s="459" t="s">
        <v>842</v>
      </c>
      <c r="DQ2" s="459">
        <v>22.066276256481078</v>
      </c>
      <c r="DR2" s="456"/>
      <c r="DS2" s="459" t="s">
        <v>843</v>
      </c>
      <c r="DT2" s="459">
        <v>23.341276256481081</v>
      </c>
      <c r="DU2" s="456"/>
      <c r="DV2" s="459" t="s">
        <v>844</v>
      </c>
      <c r="DW2" s="459">
        <v>25.899609589814411</v>
      </c>
      <c r="DX2" s="456"/>
      <c r="DY2" s="459" t="s">
        <v>845</v>
      </c>
      <c r="DZ2" s="459">
        <v>31.441276256481078</v>
      </c>
      <c r="EA2" s="456"/>
      <c r="EB2" s="459" t="s">
        <v>846</v>
      </c>
      <c r="EC2" s="459">
        <v>41.5</v>
      </c>
      <c r="ED2" s="456"/>
      <c r="EE2" s="456"/>
      <c r="EF2" s="456"/>
      <c r="EG2" s="459" t="s">
        <v>292</v>
      </c>
      <c r="EH2" s="459">
        <v>46</v>
      </c>
      <c r="EI2" s="456"/>
      <c r="EJ2" s="456"/>
      <c r="EK2" s="456"/>
      <c r="EL2" s="459" t="s">
        <v>293</v>
      </c>
      <c r="EM2" s="459">
        <v>51.99</v>
      </c>
      <c r="EN2" s="456"/>
      <c r="EO2" s="456"/>
      <c r="EP2" s="456"/>
      <c r="EQ2" s="456"/>
      <c r="ER2" s="456"/>
      <c r="ES2" s="459" t="s">
        <v>294</v>
      </c>
      <c r="ET2" s="459">
        <v>57.99</v>
      </c>
      <c r="EU2" s="456"/>
      <c r="EV2" s="456"/>
      <c r="EW2" s="456"/>
      <c r="EX2" s="456"/>
      <c r="EY2" s="456"/>
      <c r="EZ2" s="459" t="s">
        <v>295</v>
      </c>
      <c r="FA2" s="459">
        <v>113.97462642974391</v>
      </c>
      <c r="FB2" s="456"/>
      <c r="FC2" s="459" t="s">
        <v>847</v>
      </c>
      <c r="FD2" s="459">
        <v>261.62556530059862</v>
      </c>
      <c r="FE2" s="456"/>
      <c r="FF2" s="459" t="s">
        <v>848</v>
      </c>
      <c r="FG2" s="459">
        <v>311.12698372208087</v>
      </c>
      <c r="FH2" s="456"/>
      <c r="FI2" s="459" t="s">
        <v>849</v>
      </c>
      <c r="FJ2" s="459">
        <v>349.22823143300388</v>
      </c>
      <c r="FK2" s="456"/>
      <c r="FL2" s="459" t="s">
        <v>850</v>
      </c>
      <c r="FM2" s="459">
        <v>391.99543598174927</v>
      </c>
      <c r="FN2" s="456"/>
      <c r="FO2" s="459" t="s">
        <v>851</v>
      </c>
      <c r="FP2" s="459">
        <v>415.30469757994513</v>
      </c>
      <c r="FQ2" s="456"/>
      <c r="FR2" s="459" t="s">
        <v>852</v>
      </c>
      <c r="FS2" s="459">
        <v>466.16376151808993</v>
      </c>
      <c r="FT2" s="456"/>
      <c r="FU2" s="459" t="s">
        <v>853</v>
      </c>
      <c r="FV2" s="459">
        <v>523.25113060119736</v>
      </c>
      <c r="FW2" s="456"/>
      <c r="FX2" s="459" t="s">
        <v>854</v>
      </c>
      <c r="FY2" s="459" t="s">
        <v>296</v>
      </c>
      <c r="FZ2" s="456"/>
      <c r="GA2" s="459" t="s">
        <v>297</v>
      </c>
      <c r="GB2" s="459" t="s">
        <v>66</v>
      </c>
      <c r="GC2" s="456"/>
      <c r="GD2" s="459" t="s">
        <v>298</v>
      </c>
      <c r="GE2" s="459" t="s">
        <v>28</v>
      </c>
      <c r="GF2" s="456"/>
      <c r="GG2" s="459" t="s">
        <v>299</v>
      </c>
      <c r="GH2" s="459" t="s">
        <v>16</v>
      </c>
      <c r="GI2" s="456"/>
      <c r="GJ2" s="459" t="s">
        <v>300</v>
      </c>
      <c r="GK2" s="459" t="s">
        <v>6</v>
      </c>
      <c r="GL2" s="456"/>
      <c r="GM2" s="459" t="s">
        <v>301</v>
      </c>
      <c r="GN2" s="459" t="s">
        <v>32</v>
      </c>
      <c r="GO2" s="456"/>
      <c r="GP2" s="459" t="s">
        <v>302</v>
      </c>
      <c r="GQ2" s="459" t="s">
        <v>9</v>
      </c>
      <c r="GR2" s="456"/>
      <c r="GS2" s="459" t="s">
        <v>303</v>
      </c>
      <c r="GT2" s="459" t="s">
        <v>11</v>
      </c>
      <c r="GU2" s="456"/>
      <c r="GV2" s="459" t="s">
        <v>304</v>
      </c>
      <c r="GW2" s="459" t="s">
        <v>27</v>
      </c>
      <c r="GX2" s="456"/>
      <c r="GY2" s="459" t="s">
        <v>305</v>
      </c>
      <c r="GZ2" s="459" t="s">
        <v>174</v>
      </c>
      <c r="HA2" s="456"/>
      <c r="HB2" s="459" t="s">
        <v>306</v>
      </c>
      <c r="HC2" s="459" t="s">
        <v>855</v>
      </c>
      <c r="HD2" s="456"/>
      <c r="HE2" s="456"/>
      <c r="HF2" s="459" t="s">
        <v>856</v>
      </c>
      <c r="HG2" s="460" t="s">
        <v>307</v>
      </c>
    </row>
    <row r="3" spans="1:215" ht="15" customHeight="1" x14ac:dyDescent="0.2">
      <c r="A3" s="458"/>
      <c r="B3" s="459">
        <v>-0.22579320997810015</v>
      </c>
      <c r="C3" s="459" t="s">
        <v>857</v>
      </c>
      <c r="D3" s="458"/>
      <c r="E3" s="459">
        <v>3.5000000000000003E-2</v>
      </c>
      <c r="F3" s="459" t="s">
        <v>279</v>
      </c>
      <c r="G3" s="458"/>
      <c r="H3" s="459">
        <v>0.22500000000000001</v>
      </c>
      <c r="I3" s="459" t="s">
        <v>280</v>
      </c>
      <c r="J3" s="458"/>
      <c r="K3" s="459">
        <v>0.25</v>
      </c>
      <c r="L3" s="459" t="s">
        <v>281</v>
      </c>
      <c r="M3" s="458"/>
      <c r="N3" s="459">
        <v>0.29375000000000001</v>
      </c>
      <c r="O3" s="459" t="s">
        <v>858</v>
      </c>
      <c r="P3" s="458"/>
      <c r="Q3" s="459">
        <v>0.36249999999999999</v>
      </c>
      <c r="R3" s="459" t="s">
        <v>859</v>
      </c>
      <c r="S3" s="458"/>
      <c r="T3" s="459">
        <v>0.3125</v>
      </c>
      <c r="U3" s="459" t="s">
        <v>860</v>
      </c>
      <c r="V3" s="458"/>
      <c r="W3" s="459">
        <v>0.4</v>
      </c>
      <c r="X3" s="459" t="s">
        <v>861</v>
      </c>
      <c r="Y3" s="458"/>
      <c r="Z3" s="459">
        <v>0.46875</v>
      </c>
      <c r="AA3" s="459" t="s">
        <v>862</v>
      </c>
      <c r="AB3" s="458"/>
      <c r="AC3" s="459">
        <v>0.75</v>
      </c>
      <c r="AD3" s="459" t="s">
        <v>822</v>
      </c>
      <c r="AE3" s="458"/>
      <c r="AF3" s="459">
        <v>0.69027099609375009</v>
      </c>
      <c r="AG3" s="459" t="s">
        <v>863</v>
      </c>
      <c r="AH3" s="458"/>
      <c r="AI3" s="459">
        <v>0.875</v>
      </c>
      <c r="AJ3" s="459" t="s">
        <v>283</v>
      </c>
      <c r="AK3" s="458"/>
      <c r="AL3" s="459">
        <v>0.875</v>
      </c>
      <c r="AM3" s="459" t="s">
        <v>283</v>
      </c>
      <c r="AN3" s="459">
        <v>0.9375</v>
      </c>
      <c r="AO3" s="459" t="s">
        <v>864</v>
      </c>
      <c r="AP3" s="458"/>
      <c r="AQ3" s="459">
        <v>1.2835709817126482</v>
      </c>
      <c r="AR3" s="459" t="s">
        <v>865</v>
      </c>
      <c r="AS3" s="458"/>
      <c r="AT3" s="459">
        <v>1.2250000000000014</v>
      </c>
      <c r="AU3" s="459" t="s">
        <v>866</v>
      </c>
      <c r="AV3" s="458"/>
      <c r="AW3" s="459">
        <v>1.2249999999999996</v>
      </c>
      <c r="AX3" s="459" t="s">
        <v>866</v>
      </c>
      <c r="AY3" s="458"/>
      <c r="AZ3" s="459">
        <v>1.3875</v>
      </c>
      <c r="BA3" s="459" t="s">
        <v>867</v>
      </c>
      <c r="BB3" s="458"/>
      <c r="BC3" s="459">
        <v>1.5</v>
      </c>
      <c r="BD3" s="459" t="s">
        <v>829</v>
      </c>
      <c r="BE3" s="458"/>
      <c r="BF3" s="459">
        <v>1.6668540420724227</v>
      </c>
      <c r="BG3" s="459" t="s">
        <v>868</v>
      </c>
      <c r="BH3" s="458"/>
      <c r="BI3" s="459">
        <v>1.6410000000000018</v>
      </c>
      <c r="BJ3" s="459" t="s">
        <v>869</v>
      </c>
      <c r="BK3" s="458"/>
      <c r="BL3" s="459">
        <v>1.6409999999999982</v>
      </c>
      <c r="BM3" s="459" t="s">
        <v>869</v>
      </c>
      <c r="BN3" s="458"/>
      <c r="BO3" s="459">
        <v>2.0309999999999988</v>
      </c>
      <c r="BP3" s="459" t="s">
        <v>870</v>
      </c>
      <c r="BQ3" s="458"/>
      <c r="BR3" s="459">
        <v>2.5</v>
      </c>
      <c r="BS3" s="459" t="s">
        <v>871</v>
      </c>
      <c r="BT3" s="458"/>
      <c r="BU3" s="459">
        <v>2.5</v>
      </c>
      <c r="BV3" s="459" t="s">
        <v>871</v>
      </c>
      <c r="BW3" s="458"/>
      <c r="BX3" s="459">
        <v>3.625</v>
      </c>
      <c r="BY3" s="459" t="s">
        <v>285</v>
      </c>
      <c r="BZ3" s="458"/>
      <c r="CA3" s="459">
        <v>4</v>
      </c>
      <c r="CB3" s="459" t="s">
        <v>872</v>
      </c>
      <c r="CC3" s="458"/>
      <c r="CD3" s="459">
        <v>4.375</v>
      </c>
      <c r="CE3" s="459" t="s">
        <v>308</v>
      </c>
      <c r="CF3" s="458"/>
      <c r="CG3" s="459">
        <v>5.7640000000000002</v>
      </c>
      <c r="CH3" s="459" t="s">
        <v>309</v>
      </c>
      <c r="CI3" s="458"/>
      <c r="CJ3" s="459">
        <v>7.4050000000000002</v>
      </c>
      <c r="CK3" s="459" t="s">
        <v>310</v>
      </c>
      <c r="CL3" s="458"/>
      <c r="CM3" s="459">
        <v>9.0459999999999994</v>
      </c>
      <c r="CN3" s="459" t="s">
        <v>311</v>
      </c>
      <c r="CO3" s="458"/>
      <c r="CP3" s="459">
        <v>11.077</v>
      </c>
      <c r="CQ3" s="459" t="s">
        <v>312</v>
      </c>
      <c r="CR3" s="458"/>
      <c r="CS3" s="459">
        <v>12.302</v>
      </c>
      <c r="CT3" s="459" t="s">
        <v>313</v>
      </c>
      <c r="CU3" s="458"/>
      <c r="CV3" s="459">
        <v>14.1094289839009</v>
      </c>
      <c r="CW3" s="459" t="s">
        <v>873</v>
      </c>
      <c r="CX3" s="458"/>
      <c r="CY3" s="459">
        <v>13.526999999999999</v>
      </c>
      <c r="CZ3" s="459" t="s">
        <v>314</v>
      </c>
      <c r="DA3" s="458"/>
      <c r="DB3" s="459">
        <v>15.334428983900899</v>
      </c>
      <c r="DC3" s="459" t="s">
        <v>874</v>
      </c>
      <c r="DD3" s="458"/>
      <c r="DE3" s="459">
        <v>13.985876767000052</v>
      </c>
      <c r="DF3" s="459" t="s">
        <v>875</v>
      </c>
      <c r="DG3" s="458"/>
      <c r="DH3" s="459">
        <v>16.559428983900901</v>
      </c>
      <c r="DI3" s="459" t="s">
        <v>876</v>
      </c>
      <c r="DJ3" s="458"/>
      <c r="DK3" s="459">
        <v>18.5904289839009</v>
      </c>
      <c r="DL3" s="459" t="s">
        <v>877</v>
      </c>
      <c r="DM3" s="458"/>
      <c r="DN3" s="459">
        <v>20.231428983900898</v>
      </c>
      <c r="DO3" s="459" t="s">
        <v>878</v>
      </c>
      <c r="DP3" s="458"/>
      <c r="DQ3" s="459">
        <v>20.261428983900899</v>
      </c>
      <c r="DR3" s="459" t="s">
        <v>879</v>
      </c>
      <c r="DS3" s="458"/>
      <c r="DT3" s="459">
        <v>21.8724289839009</v>
      </c>
      <c r="DU3" s="459" t="s">
        <v>880</v>
      </c>
      <c r="DV3" s="458"/>
      <c r="DW3" s="459">
        <v>23.073928983900899</v>
      </c>
      <c r="DX3" s="459" t="s">
        <v>881</v>
      </c>
      <c r="DY3" s="458"/>
      <c r="DZ3" s="459">
        <v>29.136428983900899</v>
      </c>
      <c r="EA3" s="459" t="s">
        <v>882</v>
      </c>
      <c r="EB3" s="458"/>
      <c r="EC3" s="459">
        <v>1.417</v>
      </c>
      <c r="ED3" s="459" t="s">
        <v>315</v>
      </c>
      <c r="EE3" s="459">
        <v>2.0870000000000002</v>
      </c>
      <c r="EF3" s="459" t="s">
        <v>316</v>
      </c>
      <c r="EG3" s="458"/>
      <c r="EH3" s="459">
        <v>4.2910000000000004</v>
      </c>
      <c r="EI3" s="459" t="s">
        <v>317</v>
      </c>
      <c r="EJ3" s="459">
        <v>4.8029999999999999</v>
      </c>
      <c r="EK3" s="459" t="s">
        <v>318</v>
      </c>
      <c r="EL3" s="458"/>
      <c r="EM3" s="459">
        <v>0.90600000000000003</v>
      </c>
      <c r="EN3" s="459" t="s">
        <v>319</v>
      </c>
      <c r="EO3" s="459">
        <v>1.496</v>
      </c>
      <c r="EP3" s="459" t="s">
        <v>320</v>
      </c>
      <c r="EQ3" s="459">
        <v>2.0870000000000002</v>
      </c>
      <c r="ER3" s="459" t="s">
        <v>316</v>
      </c>
      <c r="ES3" s="458"/>
      <c r="ET3" s="459">
        <v>3.18</v>
      </c>
      <c r="EU3" s="459" t="s">
        <v>321</v>
      </c>
      <c r="EV3" s="459">
        <v>3.2669999999999999</v>
      </c>
      <c r="EW3" s="459" t="s">
        <v>322</v>
      </c>
      <c r="EX3" s="459">
        <v>3.77</v>
      </c>
      <c r="EY3" s="459" t="s">
        <v>323</v>
      </c>
      <c r="EZ3" s="458"/>
      <c r="FA3" s="459">
        <v>105.61955506664076</v>
      </c>
      <c r="FB3" s="459" t="s">
        <v>883</v>
      </c>
      <c r="FC3" s="458"/>
      <c r="FD3" s="459">
        <v>293.66476791740752</v>
      </c>
      <c r="FE3" s="459" t="s">
        <v>884</v>
      </c>
      <c r="FF3" s="458"/>
      <c r="FG3" s="459">
        <v>349.22823143300388</v>
      </c>
      <c r="FH3" s="459" t="s">
        <v>850</v>
      </c>
      <c r="FI3" s="458"/>
      <c r="FJ3" s="459">
        <v>391.99543598174927</v>
      </c>
      <c r="FK3" s="459" t="s">
        <v>851</v>
      </c>
      <c r="FL3" s="458"/>
      <c r="FM3" s="459">
        <v>440</v>
      </c>
      <c r="FN3" s="459" t="s">
        <v>885</v>
      </c>
      <c r="FO3" s="458"/>
      <c r="FP3" s="459">
        <v>466.16376151808993</v>
      </c>
      <c r="FQ3" s="459" t="s">
        <v>853</v>
      </c>
      <c r="FR3" s="458"/>
      <c r="FS3" s="459">
        <v>523.25113060119736</v>
      </c>
      <c r="FT3" s="459" t="s">
        <v>854</v>
      </c>
      <c r="FU3" s="458"/>
      <c r="FV3" s="459">
        <v>587.32953583481515</v>
      </c>
      <c r="FW3" s="459" t="s">
        <v>886</v>
      </c>
      <c r="FX3" s="458"/>
      <c r="FY3" s="459" t="s">
        <v>324</v>
      </c>
      <c r="FZ3" s="459" t="s">
        <v>325</v>
      </c>
      <c r="GA3" s="458"/>
      <c r="GB3" s="459" t="s">
        <v>66</v>
      </c>
      <c r="GC3" s="459" t="s">
        <v>298</v>
      </c>
      <c r="GD3" s="458"/>
      <c r="GE3" s="459" t="s">
        <v>30</v>
      </c>
      <c r="GF3" s="459" t="s">
        <v>326</v>
      </c>
      <c r="GG3" s="458"/>
      <c r="GH3" s="459" t="s">
        <v>32</v>
      </c>
      <c r="GI3" s="459" t="s">
        <v>302</v>
      </c>
      <c r="GJ3" s="458"/>
      <c r="GK3" s="459" t="s">
        <v>8</v>
      </c>
      <c r="GL3" s="459" t="s">
        <v>327</v>
      </c>
      <c r="GM3" s="458"/>
      <c r="GN3" s="459" t="s">
        <v>34</v>
      </c>
      <c r="GO3" s="459" t="s">
        <v>328</v>
      </c>
      <c r="GP3" s="458"/>
      <c r="GQ3" s="459" t="s">
        <v>11</v>
      </c>
      <c r="GR3" s="459" t="s">
        <v>304</v>
      </c>
      <c r="GS3" s="458"/>
      <c r="GT3" s="459" t="s">
        <v>27</v>
      </c>
      <c r="GU3" s="459" t="s">
        <v>305</v>
      </c>
      <c r="GV3" s="458"/>
      <c r="GW3" s="459" t="s">
        <v>29</v>
      </c>
      <c r="GX3" s="459" t="s">
        <v>329</v>
      </c>
      <c r="GY3" s="458"/>
      <c r="GZ3" s="459" t="s">
        <v>176</v>
      </c>
      <c r="HA3" s="459" t="s">
        <v>330</v>
      </c>
      <c r="HB3" s="458"/>
      <c r="HC3" s="459" t="s">
        <v>855</v>
      </c>
      <c r="HD3" s="456"/>
      <c r="HE3" s="459" t="s">
        <v>856</v>
      </c>
      <c r="HF3" s="458"/>
      <c r="HG3" s="461"/>
    </row>
    <row r="4" spans="1:215" ht="15" customHeight="1" x14ac:dyDescent="0.2">
      <c r="A4" s="454" t="s">
        <v>1</v>
      </c>
      <c r="B4" s="459">
        <v>2.7223551063271358</v>
      </c>
      <c r="C4" s="458"/>
      <c r="D4" s="458"/>
      <c r="E4" s="459">
        <v>3.5000000000000003E-2</v>
      </c>
      <c r="F4" s="458"/>
      <c r="G4" s="458"/>
      <c r="H4" s="459">
        <v>0.22500000000000001</v>
      </c>
      <c r="I4" s="458"/>
      <c r="J4" s="458"/>
      <c r="K4" s="459">
        <v>0.25</v>
      </c>
      <c r="L4" s="458"/>
      <c r="M4" s="458"/>
      <c r="N4" s="459">
        <v>0.2</v>
      </c>
      <c r="O4" s="458"/>
      <c r="P4" s="458"/>
      <c r="Q4" s="459">
        <v>0.17499999999999999</v>
      </c>
      <c r="R4" s="458"/>
      <c r="S4" s="458"/>
      <c r="T4" s="459">
        <v>0.29166666666666669</v>
      </c>
      <c r="U4" s="458"/>
      <c r="V4" s="458"/>
      <c r="W4" s="459">
        <v>0.375</v>
      </c>
      <c r="X4" s="458"/>
      <c r="Y4" s="458"/>
      <c r="Z4" s="459">
        <v>0.4375</v>
      </c>
      <c r="AA4" s="458"/>
      <c r="AB4" s="458"/>
      <c r="AC4" s="459">
        <v>0.75</v>
      </c>
      <c r="AD4" s="458"/>
      <c r="AE4" s="458"/>
      <c r="AF4" s="459">
        <v>0.60130273437500004</v>
      </c>
      <c r="AG4" s="458"/>
      <c r="AH4" s="458"/>
      <c r="AI4" s="459">
        <v>0.75</v>
      </c>
      <c r="AJ4" s="458"/>
      <c r="AK4" s="458"/>
      <c r="AL4" s="459">
        <v>0.875</v>
      </c>
      <c r="AM4" s="458"/>
      <c r="AN4" s="459">
        <v>0.875</v>
      </c>
      <c r="AO4" s="458"/>
      <c r="AP4" s="458"/>
      <c r="AQ4" s="459">
        <v>0.94359447245699868</v>
      </c>
      <c r="AR4" s="458"/>
      <c r="AS4" s="458"/>
      <c r="AT4" s="459">
        <v>1.1439999999999984</v>
      </c>
      <c r="AU4" s="458"/>
      <c r="AV4" s="458"/>
      <c r="AW4" s="459">
        <v>1.1419999999999995</v>
      </c>
      <c r="AX4" s="458"/>
      <c r="AY4" s="458"/>
      <c r="AZ4" s="459">
        <v>1.325</v>
      </c>
      <c r="BA4" s="458"/>
      <c r="BB4" s="458"/>
      <c r="BC4" s="459">
        <v>1.5</v>
      </c>
      <c r="BD4" s="458"/>
      <c r="BE4" s="458"/>
      <c r="BF4" s="459">
        <v>1.6369595693742518</v>
      </c>
      <c r="BG4" s="458"/>
      <c r="BH4" s="458"/>
      <c r="BI4" s="459">
        <v>1.5339999999999989</v>
      </c>
      <c r="BJ4" s="458"/>
      <c r="BK4" s="458"/>
      <c r="BL4" s="459">
        <v>1.5289999999999999</v>
      </c>
      <c r="BM4" s="458"/>
      <c r="BN4" s="458"/>
      <c r="BO4" s="459">
        <v>1.9650000000000034</v>
      </c>
      <c r="BP4" s="458"/>
      <c r="BQ4" s="458"/>
      <c r="BR4" s="459">
        <v>2.375</v>
      </c>
      <c r="BS4" s="458"/>
      <c r="BT4" s="458"/>
      <c r="BU4" s="459">
        <v>1</v>
      </c>
      <c r="BV4" s="458"/>
      <c r="BW4" s="458"/>
      <c r="BX4" s="459">
        <v>3.125</v>
      </c>
      <c r="BY4" s="458"/>
      <c r="BZ4" s="458"/>
      <c r="CA4" s="459">
        <v>3.75</v>
      </c>
      <c r="CB4" s="458"/>
      <c r="CC4" s="458"/>
      <c r="CD4" s="459">
        <v>4.25</v>
      </c>
      <c r="CE4" s="458"/>
      <c r="CF4" s="458"/>
      <c r="CG4" s="459">
        <v>5.5259999999999998</v>
      </c>
      <c r="CH4" s="458"/>
      <c r="CI4" s="458"/>
      <c r="CJ4" s="459">
        <v>7.06</v>
      </c>
      <c r="CK4" s="458"/>
      <c r="CL4" s="458"/>
      <c r="CM4" s="459">
        <v>8.5890000000000004</v>
      </c>
      <c r="CN4" s="458"/>
      <c r="CO4" s="458"/>
      <c r="CP4" s="459">
        <v>10.554</v>
      </c>
      <c r="CQ4" s="458"/>
      <c r="CR4" s="458"/>
      <c r="CS4" s="459">
        <v>11.698</v>
      </c>
      <c r="CT4" s="458"/>
      <c r="CU4" s="458"/>
      <c r="CV4" s="459">
        <v>14.647222193878999</v>
      </c>
      <c r="CW4" s="458"/>
      <c r="CX4" s="458"/>
      <c r="CY4" s="459">
        <v>12.84</v>
      </c>
      <c r="CZ4" s="458"/>
      <c r="DA4" s="458"/>
      <c r="DB4" s="459">
        <v>15.789222193878999</v>
      </c>
      <c r="DC4" s="458"/>
      <c r="DD4" s="458"/>
      <c r="DE4" s="459">
        <v>12.319022724927629</v>
      </c>
      <c r="DF4" s="458"/>
      <c r="DG4" s="458"/>
      <c r="DH4" s="459">
        <v>16.933222193878997</v>
      </c>
      <c r="DI4" s="458"/>
      <c r="DJ4" s="458"/>
      <c r="DK4" s="459">
        <v>18.898222193879</v>
      </c>
      <c r="DL4" s="458"/>
      <c r="DM4" s="458"/>
      <c r="DN4" s="459">
        <v>20.427222193879</v>
      </c>
      <c r="DO4" s="458"/>
      <c r="DP4" s="458"/>
      <c r="DQ4" s="459">
        <v>20.487222193878999</v>
      </c>
      <c r="DR4" s="458"/>
      <c r="DS4" s="458"/>
      <c r="DT4" s="459">
        <v>21.961222193878999</v>
      </c>
      <c r="DU4" s="458"/>
      <c r="DV4" s="458"/>
      <c r="DW4" s="459">
        <v>21.778888860545667</v>
      </c>
      <c r="DX4" s="458"/>
      <c r="DY4" s="458"/>
      <c r="DZ4" s="459">
        <v>28.987222193878999</v>
      </c>
      <c r="EA4" s="458"/>
      <c r="EB4" s="458"/>
      <c r="EC4" s="459">
        <v>1.921</v>
      </c>
      <c r="ED4" s="458"/>
      <c r="EE4" s="459">
        <v>2.5910000000000002</v>
      </c>
      <c r="EF4" s="458"/>
      <c r="EG4" s="458"/>
      <c r="EH4" s="459">
        <v>4.6849999999999996</v>
      </c>
      <c r="EI4" s="458"/>
      <c r="EJ4" s="459">
        <v>5.3540000000000001</v>
      </c>
      <c r="EK4" s="458"/>
      <c r="EL4" s="458"/>
      <c r="EM4" s="459">
        <v>1.339</v>
      </c>
      <c r="EN4" s="458"/>
      <c r="EO4" s="459">
        <v>2.008</v>
      </c>
      <c r="EP4" s="458"/>
      <c r="EQ4" s="459">
        <v>2.68</v>
      </c>
      <c r="ER4" s="458"/>
      <c r="ES4" s="458"/>
      <c r="ET4" s="459">
        <v>3.3460000000000001</v>
      </c>
      <c r="EU4" s="458"/>
      <c r="EV4" s="459">
        <v>3.26</v>
      </c>
      <c r="EW4" s="458"/>
      <c r="EX4" s="459">
        <v>4.016</v>
      </c>
      <c r="EY4" s="458"/>
      <c r="EZ4" s="458"/>
      <c r="FA4" s="459">
        <v>90.585069355871866</v>
      </c>
      <c r="FB4" s="458"/>
      <c r="FC4" s="458"/>
      <c r="FD4" s="459">
        <v>311.12698372208087</v>
      </c>
      <c r="FE4" s="458"/>
      <c r="FF4" s="458"/>
      <c r="FG4" s="459">
        <v>369.99442271163434</v>
      </c>
      <c r="FH4" s="458"/>
      <c r="FI4" s="458"/>
      <c r="FJ4" s="459">
        <v>415.30469757994513</v>
      </c>
      <c r="FK4" s="458"/>
      <c r="FL4" s="458"/>
      <c r="FM4" s="459">
        <v>466.16376151808993</v>
      </c>
      <c r="FN4" s="458"/>
      <c r="FO4" s="458"/>
      <c r="FP4" s="459">
        <v>493.88330125612413</v>
      </c>
      <c r="FQ4" s="458"/>
      <c r="FR4" s="458"/>
      <c r="FS4" s="459">
        <v>554.36526195374415</v>
      </c>
      <c r="FT4" s="458"/>
      <c r="FU4" s="458"/>
      <c r="FV4" s="459">
        <v>622.25396744416184</v>
      </c>
      <c r="FW4" s="458"/>
      <c r="FX4" s="458"/>
      <c r="FY4" s="459" t="s">
        <v>331</v>
      </c>
      <c r="FZ4" s="458"/>
      <c r="GA4" s="458"/>
      <c r="GB4" s="459" t="s">
        <v>67</v>
      </c>
      <c r="GC4" s="458"/>
      <c r="GD4" s="458"/>
      <c r="GE4" s="459" t="s">
        <v>31</v>
      </c>
      <c r="GF4" s="458"/>
      <c r="GG4" s="458"/>
      <c r="GH4" s="459" t="s">
        <v>33</v>
      </c>
      <c r="GI4" s="458"/>
      <c r="GJ4" s="458"/>
      <c r="GK4" s="459" t="s">
        <v>9</v>
      </c>
      <c r="GL4" s="458"/>
      <c r="GM4" s="458"/>
      <c r="GN4" s="459" t="s">
        <v>40</v>
      </c>
      <c r="GO4" s="458"/>
      <c r="GP4" s="458"/>
      <c r="GQ4" s="459" t="s">
        <v>26</v>
      </c>
      <c r="GR4" s="458"/>
      <c r="GS4" s="458"/>
      <c r="GT4" s="459" t="s">
        <v>28</v>
      </c>
      <c r="GU4" s="458"/>
      <c r="GV4" s="458"/>
      <c r="GW4" s="459" t="s">
        <v>30</v>
      </c>
      <c r="GX4" s="458"/>
      <c r="GY4" s="458"/>
      <c r="GZ4" s="459" t="s">
        <v>175</v>
      </c>
      <c r="HA4" s="458"/>
      <c r="HB4" s="458"/>
      <c r="HC4" s="459" t="s">
        <v>173</v>
      </c>
      <c r="HD4" s="462" t="s">
        <v>855</v>
      </c>
      <c r="HE4" s="458"/>
      <c r="HF4" s="458"/>
      <c r="HG4" s="461"/>
    </row>
    <row r="5" spans="1:215" ht="15" customHeight="1" x14ac:dyDescent="0.2">
      <c r="A5" s="459" t="s">
        <v>150</v>
      </c>
      <c r="B5" s="824"/>
      <c r="C5" s="824"/>
      <c r="D5" s="824"/>
      <c r="E5" s="824"/>
      <c r="F5" s="824"/>
      <c r="G5" s="824"/>
      <c r="H5" s="824"/>
      <c r="I5" s="824"/>
      <c r="J5" s="824"/>
      <c r="K5" s="824"/>
      <c r="L5" s="824"/>
      <c r="M5" s="824"/>
      <c r="N5" s="824"/>
      <c r="O5" s="824"/>
      <c r="P5" s="824"/>
      <c r="Q5" s="824"/>
      <c r="R5" s="824"/>
      <c r="S5" s="824"/>
      <c r="T5" s="824"/>
      <c r="U5" s="824"/>
      <c r="V5" s="824"/>
      <c r="W5" s="824"/>
      <c r="X5" s="824"/>
      <c r="Y5" s="824"/>
      <c r="Z5" s="824"/>
      <c r="AA5" s="824"/>
      <c r="AB5" s="824"/>
      <c r="AC5" s="824"/>
      <c r="AD5" s="824"/>
      <c r="AE5" s="824"/>
      <c r="AF5" s="824"/>
      <c r="AG5" s="824"/>
      <c r="AH5" s="824"/>
      <c r="AI5" s="824"/>
      <c r="AJ5" s="824"/>
      <c r="AK5" s="824"/>
      <c r="AL5" s="824"/>
      <c r="AM5" s="824"/>
      <c r="AN5" s="824"/>
      <c r="AO5" s="824"/>
      <c r="AP5" s="824"/>
      <c r="AQ5" s="824"/>
      <c r="AR5" s="824"/>
      <c r="AS5" s="824"/>
      <c r="AT5" s="824"/>
      <c r="AU5" s="824"/>
      <c r="AV5" s="824"/>
      <c r="AW5" s="824"/>
      <c r="AX5" s="824"/>
      <c r="AY5" s="824"/>
      <c r="AZ5" s="824"/>
      <c r="BA5" s="824"/>
      <c r="BB5" s="824"/>
      <c r="BC5" s="824"/>
      <c r="BD5" s="824"/>
      <c r="BE5" s="824"/>
      <c r="BF5" s="824"/>
      <c r="BG5" s="824"/>
      <c r="BH5" s="824"/>
      <c r="BI5" s="824"/>
      <c r="BJ5" s="824"/>
      <c r="BK5" s="824"/>
      <c r="BL5" s="824"/>
      <c r="BM5" s="824"/>
      <c r="BN5" s="824"/>
      <c r="BO5" s="824"/>
      <c r="BP5" s="824"/>
      <c r="BQ5" s="824"/>
      <c r="BR5" s="824"/>
      <c r="BS5" s="824"/>
      <c r="BT5" s="824"/>
      <c r="BU5" s="824"/>
      <c r="BV5" s="824"/>
      <c r="BW5" s="824"/>
      <c r="BX5" s="824"/>
      <c r="BY5" s="824"/>
      <c r="BZ5" s="824"/>
      <c r="CA5" s="824"/>
      <c r="CB5" s="824"/>
      <c r="CC5" s="824"/>
      <c r="CD5" s="824"/>
      <c r="CE5" s="824"/>
      <c r="CF5" s="824"/>
      <c r="CG5" s="824"/>
      <c r="CH5" s="824"/>
      <c r="CI5" s="824"/>
      <c r="CJ5" s="824"/>
      <c r="CK5" s="824"/>
      <c r="CL5" s="824"/>
      <c r="CM5" s="824"/>
      <c r="CN5" s="824"/>
      <c r="CO5" s="824"/>
      <c r="CP5" s="824"/>
      <c r="CQ5" s="824"/>
      <c r="CR5" s="824"/>
      <c r="CS5" s="824"/>
      <c r="CT5" s="824"/>
      <c r="CU5" s="824"/>
      <c r="CV5" s="824"/>
      <c r="CW5" s="824"/>
      <c r="CX5" s="824"/>
      <c r="CY5" s="824"/>
      <c r="CZ5" s="824"/>
      <c r="DA5" s="824"/>
      <c r="DB5" s="824"/>
      <c r="DC5" s="824"/>
      <c r="DD5" s="824"/>
      <c r="DE5" s="824"/>
      <c r="DF5" s="824"/>
      <c r="DG5" s="824"/>
      <c r="DH5" s="824"/>
      <c r="DI5" s="824"/>
      <c r="DJ5" s="824"/>
      <c r="DK5" s="824"/>
      <c r="DL5" s="824"/>
      <c r="DM5" s="824"/>
      <c r="DN5" s="824"/>
      <c r="DO5" s="824"/>
      <c r="DP5" s="824"/>
      <c r="DQ5" s="824"/>
      <c r="DR5" s="824"/>
      <c r="DS5" s="824"/>
      <c r="DT5" s="824"/>
      <c r="DU5" s="824"/>
      <c r="DV5" s="824"/>
      <c r="DW5" s="824">
        <v>25.899609589814411</v>
      </c>
      <c r="DX5" s="824">
        <v>25.899609589814411</v>
      </c>
      <c r="DY5" s="824">
        <v>25.899609589814411</v>
      </c>
      <c r="DZ5" s="824"/>
      <c r="EA5" s="824"/>
      <c r="EB5" s="824"/>
      <c r="EC5" s="824"/>
      <c r="ED5" s="824"/>
      <c r="EE5" s="824"/>
      <c r="EF5" s="824"/>
      <c r="EG5" s="824"/>
      <c r="EH5" s="824"/>
      <c r="EI5" s="824"/>
      <c r="EJ5" s="824"/>
      <c r="EK5" s="824"/>
      <c r="EL5" s="824"/>
      <c r="EM5" s="824"/>
      <c r="EN5" s="824"/>
      <c r="EO5" s="824"/>
      <c r="EP5" s="824"/>
      <c r="EQ5" s="824"/>
      <c r="ER5" s="824"/>
      <c r="ES5" s="824"/>
      <c r="ET5" s="824"/>
      <c r="EU5" s="824"/>
      <c r="EV5" s="824"/>
      <c r="EW5" s="824"/>
      <c r="EX5" s="824"/>
      <c r="EY5" s="824"/>
      <c r="EZ5" s="824"/>
      <c r="FA5" s="824"/>
      <c r="FB5" s="824"/>
      <c r="FC5" s="824"/>
      <c r="FD5" s="824"/>
      <c r="FE5" s="824"/>
      <c r="FF5" s="824"/>
      <c r="FG5" s="824"/>
      <c r="FH5" s="824"/>
      <c r="FI5" s="824"/>
      <c r="FJ5" s="824"/>
      <c r="FK5" s="824"/>
      <c r="FL5" s="824"/>
      <c r="FM5" s="824"/>
      <c r="FN5" s="824"/>
      <c r="FO5" s="824"/>
      <c r="FP5" s="824"/>
      <c r="FQ5" s="824"/>
      <c r="FR5" s="824"/>
      <c r="FS5" s="824"/>
      <c r="FT5" s="824"/>
      <c r="FU5" s="824"/>
      <c r="FV5" s="824"/>
      <c r="FW5" s="824"/>
      <c r="FX5" s="824"/>
      <c r="FY5" s="824"/>
      <c r="FZ5" s="824"/>
      <c r="GA5" s="824"/>
      <c r="GB5" s="824"/>
      <c r="GC5" s="824"/>
      <c r="GD5" s="824"/>
      <c r="GE5" s="824"/>
      <c r="GF5" s="824"/>
      <c r="GG5" s="824"/>
      <c r="GH5" s="824"/>
      <c r="GI5" s="824"/>
      <c r="GJ5" s="824"/>
      <c r="GK5" s="824"/>
      <c r="GL5" s="824"/>
      <c r="GM5" s="824"/>
      <c r="GN5" s="824"/>
      <c r="GO5" s="824"/>
      <c r="GP5" s="824"/>
      <c r="GQ5" s="824"/>
      <c r="GR5" s="824"/>
      <c r="GS5" s="824"/>
      <c r="GT5" s="824"/>
      <c r="GU5" s="824"/>
      <c r="GV5" s="824"/>
      <c r="GW5" s="824"/>
      <c r="GX5" s="824"/>
      <c r="GY5" s="824"/>
      <c r="GZ5" s="824"/>
      <c r="HA5" s="824"/>
      <c r="HB5" s="824"/>
      <c r="HC5" s="824"/>
      <c r="HD5" s="825"/>
      <c r="HE5" s="824"/>
      <c r="HF5" s="824"/>
      <c r="HG5" s="826">
        <v>25.899609589814411</v>
      </c>
    </row>
    <row r="6" spans="1:215" ht="15" customHeight="1" x14ac:dyDescent="0.2">
      <c r="A6" s="463" t="s">
        <v>122</v>
      </c>
      <c r="B6" s="827"/>
      <c r="C6" s="827"/>
      <c r="D6" s="827"/>
      <c r="E6" s="827"/>
      <c r="F6" s="827"/>
      <c r="G6" s="827"/>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v>1.3851083073059156</v>
      </c>
      <c r="AR6" s="827">
        <v>1.3851083073059156</v>
      </c>
      <c r="AS6" s="827">
        <v>1.3851083073059156</v>
      </c>
      <c r="AT6" s="827"/>
      <c r="AU6" s="827"/>
      <c r="AV6" s="827"/>
      <c r="AW6" s="827"/>
      <c r="AX6" s="827"/>
      <c r="AY6" s="827"/>
      <c r="AZ6" s="827"/>
      <c r="BA6" s="827"/>
      <c r="BB6" s="827"/>
      <c r="BC6" s="827"/>
      <c r="BD6" s="827"/>
      <c r="BE6" s="827"/>
      <c r="BF6" s="827"/>
      <c r="BG6" s="827"/>
      <c r="BH6" s="827"/>
      <c r="BI6" s="827"/>
      <c r="BJ6" s="827"/>
      <c r="BK6" s="827"/>
      <c r="BL6" s="827"/>
      <c r="BM6" s="827"/>
      <c r="BN6" s="827"/>
      <c r="BO6" s="827"/>
      <c r="BP6" s="827"/>
      <c r="BQ6" s="827"/>
      <c r="BR6" s="827"/>
      <c r="BS6" s="827"/>
      <c r="BT6" s="827"/>
      <c r="BU6" s="827"/>
      <c r="BV6" s="827"/>
      <c r="BW6" s="827"/>
      <c r="BX6" s="827"/>
      <c r="BY6" s="827"/>
      <c r="BZ6" s="827"/>
      <c r="CA6" s="827"/>
      <c r="CB6" s="827"/>
      <c r="CC6" s="827"/>
      <c r="CD6" s="827"/>
      <c r="CE6" s="827"/>
      <c r="CF6" s="827"/>
      <c r="CG6" s="827"/>
      <c r="CH6" s="827"/>
      <c r="CI6" s="827"/>
      <c r="CJ6" s="827"/>
      <c r="CK6" s="827"/>
      <c r="CL6" s="827"/>
      <c r="CM6" s="827"/>
      <c r="CN6" s="827"/>
      <c r="CO6" s="827"/>
      <c r="CP6" s="827"/>
      <c r="CQ6" s="827"/>
      <c r="CR6" s="827"/>
      <c r="CS6" s="827"/>
      <c r="CT6" s="827"/>
      <c r="CU6" s="827"/>
      <c r="CV6" s="827"/>
      <c r="CW6" s="827"/>
      <c r="CX6" s="827"/>
      <c r="CY6" s="827"/>
      <c r="CZ6" s="827"/>
      <c r="DA6" s="827"/>
      <c r="DB6" s="827"/>
      <c r="DC6" s="827"/>
      <c r="DD6" s="827"/>
      <c r="DE6" s="827"/>
      <c r="DF6" s="827"/>
      <c r="DG6" s="827"/>
      <c r="DH6" s="827"/>
      <c r="DI6" s="827"/>
      <c r="DJ6" s="827"/>
      <c r="DK6" s="827"/>
      <c r="DL6" s="827"/>
      <c r="DM6" s="827"/>
      <c r="DN6" s="827"/>
      <c r="DO6" s="827"/>
      <c r="DP6" s="827"/>
      <c r="DQ6" s="827"/>
      <c r="DR6" s="827"/>
      <c r="DS6" s="827"/>
      <c r="DT6" s="827"/>
      <c r="DU6" s="827"/>
      <c r="DV6" s="827"/>
      <c r="DW6" s="827"/>
      <c r="DX6" s="827"/>
      <c r="DY6" s="827"/>
      <c r="DZ6" s="827"/>
      <c r="EA6" s="827"/>
      <c r="EB6" s="827"/>
      <c r="EC6" s="827"/>
      <c r="ED6" s="827"/>
      <c r="EE6" s="827"/>
      <c r="EF6" s="827"/>
      <c r="EG6" s="827"/>
      <c r="EH6" s="827"/>
      <c r="EI6" s="827"/>
      <c r="EJ6" s="827"/>
      <c r="EK6" s="827"/>
      <c r="EL6" s="827"/>
      <c r="EM6" s="827"/>
      <c r="EN6" s="827"/>
      <c r="EO6" s="827"/>
      <c r="EP6" s="827"/>
      <c r="EQ6" s="827"/>
      <c r="ER6" s="827"/>
      <c r="ES6" s="827"/>
      <c r="ET6" s="827"/>
      <c r="EU6" s="827"/>
      <c r="EV6" s="827"/>
      <c r="EW6" s="827"/>
      <c r="EX6" s="827"/>
      <c r="EY6" s="827"/>
      <c r="EZ6" s="827"/>
      <c r="FA6" s="827"/>
      <c r="FB6" s="827"/>
      <c r="FC6" s="827"/>
      <c r="FD6" s="827"/>
      <c r="FE6" s="827"/>
      <c r="FF6" s="827"/>
      <c r="FG6" s="827"/>
      <c r="FH6" s="827"/>
      <c r="FI6" s="827"/>
      <c r="FJ6" s="827"/>
      <c r="FK6" s="827"/>
      <c r="FL6" s="827"/>
      <c r="FM6" s="827"/>
      <c r="FN6" s="827"/>
      <c r="FO6" s="827"/>
      <c r="FP6" s="827"/>
      <c r="FQ6" s="827"/>
      <c r="FR6" s="827"/>
      <c r="FS6" s="827"/>
      <c r="FT6" s="827"/>
      <c r="FU6" s="827"/>
      <c r="FV6" s="827"/>
      <c r="FW6" s="827"/>
      <c r="FX6" s="827"/>
      <c r="FY6" s="827"/>
      <c r="FZ6" s="827"/>
      <c r="GA6" s="827"/>
      <c r="GB6" s="827"/>
      <c r="GC6" s="827"/>
      <c r="GD6" s="827"/>
      <c r="GE6" s="827"/>
      <c r="GF6" s="827"/>
      <c r="GG6" s="827"/>
      <c r="GH6" s="827"/>
      <c r="GI6" s="827"/>
      <c r="GJ6" s="827"/>
      <c r="GK6" s="827"/>
      <c r="GL6" s="827"/>
      <c r="GM6" s="827"/>
      <c r="GN6" s="827"/>
      <c r="GO6" s="827"/>
      <c r="GP6" s="827"/>
      <c r="GQ6" s="827"/>
      <c r="GR6" s="827"/>
      <c r="GS6" s="827"/>
      <c r="GT6" s="827"/>
      <c r="GU6" s="827"/>
      <c r="GV6" s="827"/>
      <c r="GW6" s="827"/>
      <c r="GX6" s="827"/>
      <c r="GY6" s="827"/>
      <c r="GZ6" s="827"/>
      <c r="HA6" s="827"/>
      <c r="HB6" s="827"/>
      <c r="HC6" s="827"/>
      <c r="HD6" s="828"/>
      <c r="HE6" s="827"/>
      <c r="HF6" s="827"/>
      <c r="HG6" s="829">
        <v>1.3851083073059156</v>
      </c>
    </row>
    <row r="7" spans="1:215" ht="15" customHeight="1" x14ac:dyDescent="0.2">
      <c r="A7" s="463" t="s">
        <v>117</v>
      </c>
      <c r="B7" s="827"/>
      <c r="C7" s="827"/>
      <c r="D7" s="827"/>
      <c r="E7" s="827"/>
      <c r="F7" s="827"/>
      <c r="G7" s="827"/>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7"/>
      <c r="AY7" s="827"/>
      <c r="AZ7" s="827"/>
      <c r="BA7" s="827"/>
      <c r="BB7" s="827"/>
      <c r="BC7" s="827"/>
      <c r="BD7" s="827"/>
      <c r="BE7" s="827"/>
      <c r="BF7" s="827"/>
      <c r="BG7" s="827"/>
      <c r="BH7" s="827"/>
      <c r="BI7" s="827"/>
      <c r="BJ7" s="827"/>
      <c r="BK7" s="827"/>
      <c r="BL7" s="827"/>
      <c r="BM7" s="827"/>
      <c r="BN7" s="827"/>
      <c r="BO7" s="827"/>
      <c r="BP7" s="827"/>
      <c r="BQ7" s="827"/>
      <c r="BR7" s="827"/>
      <c r="BS7" s="827"/>
      <c r="BT7" s="827"/>
      <c r="BU7" s="827"/>
      <c r="BV7" s="827"/>
      <c r="BW7" s="827"/>
      <c r="BX7" s="827"/>
      <c r="BY7" s="827"/>
      <c r="BZ7" s="827"/>
      <c r="CA7" s="827"/>
      <c r="CB7" s="827"/>
      <c r="CC7" s="827"/>
      <c r="CD7" s="827"/>
      <c r="CE7" s="827"/>
      <c r="CF7" s="827"/>
      <c r="CG7" s="827"/>
      <c r="CH7" s="827"/>
      <c r="CI7" s="827"/>
      <c r="CJ7" s="827"/>
      <c r="CK7" s="827"/>
      <c r="CL7" s="827"/>
      <c r="CM7" s="827"/>
      <c r="CN7" s="827"/>
      <c r="CO7" s="827"/>
      <c r="CP7" s="827"/>
      <c r="CQ7" s="827"/>
      <c r="CR7" s="827"/>
      <c r="CS7" s="827"/>
      <c r="CT7" s="827"/>
      <c r="CU7" s="827"/>
      <c r="CV7" s="827"/>
      <c r="CW7" s="827"/>
      <c r="CX7" s="827"/>
      <c r="CY7" s="827"/>
      <c r="CZ7" s="827"/>
      <c r="DA7" s="827"/>
      <c r="DB7" s="827"/>
      <c r="DC7" s="827"/>
      <c r="DD7" s="827"/>
      <c r="DE7" s="827"/>
      <c r="DF7" s="827"/>
      <c r="DG7" s="827"/>
      <c r="DH7" s="827"/>
      <c r="DI7" s="827"/>
      <c r="DJ7" s="827"/>
      <c r="DK7" s="827"/>
      <c r="DL7" s="827"/>
      <c r="DM7" s="827"/>
      <c r="DN7" s="827"/>
      <c r="DO7" s="827"/>
      <c r="DP7" s="827"/>
      <c r="DQ7" s="827"/>
      <c r="DR7" s="827"/>
      <c r="DS7" s="827"/>
      <c r="DT7" s="827"/>
      <c r="DU7" s="827"/>
      <c r="DV7" s="827"/>
      <c r="DW7" s="827"/>
      <c r="DX7" s="827"/>
      <c r="DY7" s="827"/>
      <c r="DZ7" s="827">
        <v>31.441276256481078</v>
      </c>
      <c r="EA7" s="827">
        <v>31.441276256481078</v>
      </c>
      <c r="EB7" s="827">
        <v>31.441276256481078</v>
      </c>
      <c r="EC7" s="827"/>
      <c r="ED7" s="827"/>
      <c r="EE7" s="827"/>
      <c r="EF7" s="827"/>
      <c r="EG7" s="827"/>
      <c r="EH7" s="827"/>
      <c r="EI7" s="827"/>
      <c r="EJ7" s="827"/>
      <c r="EK7" s="827"/>
      <c r="EL7" s="827"/>
      <c r="EM7" s="827"/>
      <c r="EN7" s="827"/>
      <c r="EO7" s="827"/>
      <c r="EP7" s="827"/>
      <c r="EQ7" s="827"/>
      <c r="ER7" s="827"/>
      <c r="ES7" s="827"/>
      <c r="ET7" s="827"/>
      <c r="EU7" s="827"/>
      <c r="EV7" s="827"/>
      <c r="EW7" s="827"/>
      <c r="EX7" s="827"/>
      <c r="EY7" s="827"/>
      <c r="EZ7" s="827"/>
      <c r="FA7" s="827"/>
      <c r="FB7" s="827"/>
      <c r="FC7" s="827"/>
      <c r="FD7" s="827"/>
      <c r="FE7" s="827"/>
      <c r="FF7" s="827"/>
      <c r="FG7" s="827"/>
      <c r="FH7" s="827"/>
      <c r="FI7" s="827"/>
      <c r="FJ7" s="827"/>
      <c r="FK7" s="827"/>
      <c r="FL7" s="827"/>
      <c r="FM7" s="827"/>
      <c r="FN7" s="827"/>
      <c r="FO7" s="827"/>
      <c r="FP7" s="827"/>
      <c r="FQ7" s="827"/>
      <c r="FR7" s="827"/>
      <c r="FS7" s="827"/>
      <c r="FT7" s="827"/>
      <c r="FU7" s="827"/>
      <c r="FV7" s="827"/>
      <c r="FW7" s="827"/>
      <c r="FX7" s="827"/>
      <c r="FY7" s="827"/>
      <c r="FZ7" s="827"/>
      <c r="GA7" s="827"/>
      <c r="GB7" s="827"/>
      <c r="GC7" s="827"/>
      <c r="GD7" s="827"/>
      <c r="GE7" s="827"/>
      <c r="GF7" s="827"/>
      <c r="GG7" s="827"/>
      <c r="GH7" s="827"/>
      <c r="GI7" s="827"/>
      <c r="GJ7" s="827"/>
      <c r="GK7" s="827"/>
      <c r="GL7" s="827"/>
      <c r="GM7" s="827"/>
      <c r="GN7" s="827"/>
      <c r="GO7" s="827"/>
      <c r="GP7" s="827"/>
      <c r="GQ7" s="827"/>
      <c r="GR7" s="827"/>
      <c r="GS7" s="827"/>
      <c r="GT7" s="827"/>
      <c r="GU7" s="827"/>
      <c r="GV7" s="827"/>
      <c r="GW7" s="827"/>
      <c r="GX7" s="827"/>
      <c r="GY7" s="827"/>
      <c r="GZ7" s="827"/>
      <c r="HA7" s="827"/>
      <c r="HB7" s="827"/>
      <c r="HC7" s="827"/>
      <c r="HD7" s="828"/>
      <c r="HE7" s="827"/>
      <c r="HF7" s="827"/>
      <c r="HG7" s="829">
        <v>31.441276256481078</v>
      </c>
    </row>
    <row r="8" spans="1:215" ht="15" customHeight="1" x14ac:dyDescent="0.2">
      <c r="A8" s="463" t="s">
        <v>119</v>
      </c>
      <c r="B8" s="827"/>
      <c r="C8" s="827"/>
      <c r="D8" s="827"/>
      <c r="E8" s="827"/>
      <c r="F8" s="827"/>
      <c r="G8" s="827"/>
      <c r="H8" s="827"/>
      <c r="I8" s="827"/>
      <c r="J8" s="827"/>
      <c r="K8" s="827"/>
      <c r="L8" s="827"/>
      <c r="M8" s="827"/>
      <c r="N8" s="827"/>
      <c r="O8" s="827"/>
      <c r="P8" s="827"/>
      <c r="Q8" s="827"/>
      <c r="R8" s="827"/>
      <c r="S8" s="827"/>
      <c r="T8" s="827"/>
      <c r="U8" s="827"/>
      <c r="V8" s="827"/>
      <c r="W8" s="827"/>
      <c r="X8" s="827"/>
      <c r="Y8" s="827"/>
      <c r="Z8" s="827"/>
      <c r="AA8" s="827"/>
      <c r="AB8" s="827"/>
      <c r="AC8" s="827"/>
      <c r="AD8" s="827"/>
      <c r="AE8" s="827"/>
      <c r="AF8" s="827"/>
      <c r="AG8" s="827"/>
      <c r="AH8" s="827"/>
      <c r="AI8" s="827">
        <v>0.875</v>
      </c>
      <c r="AJ8" s="827">
        <v>0.875</v>
      </c>
      <c r="AK8" s="827">
        <v>0.875</v>
      </c>
      <c r="AL8" s="827"/>
      <c r="AM8" s="827"/>
      <c r="AN8" s="827"/>
      <c r="AO8" s="827"/>
      <c r="AP8" s="827"/>
      <c r="AQ8" s="827"/>
      <c r="AR8" s="827"/>
      <c r="AS8" s="827"/>
      <c r="AT8" s="827"/>
      <c r="AU8" s="827"/>
      <c r="AV8" s="827"/>
      <c r="AW8" s="827"/>
      <c r="AX8" s="827"/>
      <c r="AY8" s="827"/>
      <c r="AZ8" s="827"/>
      <c r="BA8" s="827"/>
      <c r="BB8" s="827"/>
      <c r="BC8" s="827"/>
      <c r="BD8" s="827"/>
      <c r="BE8" s="827"/>
      <c r="BF8" s="827"/>
      <c r="BG8" s="827"/>
      <c r="BH8" s="827"/>
      <c r="BI8" s="827"/>
      <c r="BJ8" s="827"/>
      <c r="BK8" s="827"/>
      <c r="BL8" s="827"/>
      <c r="BM8" s="827"/>
      <c r="BN8" s="827"/>
      <c r="BO8" s="827"/>
      <c r="BP8" s="827"/>
      <c r="BQ8" s="827"/>
      <c r="BR8" s="827"/>
      <c r="BS8" s="827"/>
      <c r="BT8" s="827"/>
      <c r="BU8" s="827"/>
      <c r="BV8" s="827"/>
      <c r="BW8" s="827"/>
      <c r="BX8" s="827"/>
      <c r="BY8" s="827"/>
      <c r="BZ8" s="827"/>
      <c r="CA8" s="827"/>
      <c r="CB8" s="827"/>
      <c r="CC8" s="827"/>
      <c r="CD8" s="827"/>
      <c r="CE8" s="827"/>
      <c r="CF8" s="827"/>
      <c r="CG8" s="827"/>
      <c r="CH8" s="827"/>
      <c r="CI8" s="827"/>
      <c r="CJ8" s="827"/>
      <c r="CK8" s="827"/>
      <c r="CL8" s="827"/>
      <c r="CM8" s="827"/>
      <c r="CN8" s="827"/>
      <c r="CO8" s="827"/>
      <c r="CP8" s="827"/>
      <c r="CQ8" s="827"/>
      <c r="CR8" s="827"/>
      <c r="CS8" s="827"/>
      <c r="CT8" s="827"/>
      <c r="CU8" s="827"/>
      <c r="CV8" s="827"/>
      <c r="CW8" s="827"/>
      <c r="CX8" s="827"/>
      <c r="CY8" s="827"/>
      <c r="CZ8" s="827"/>
      <c r="DA8" s="827"/>
      <c r="DB8" s="827"/>
      <c r="DC8" s="827"/>
      <c r="DD8" s="827"/>
      <c r="DE8" s="827"/>
      <c r="DF8" s="827"/>
      <c r="DG8" s="827"/>
      <c r="DH8" s="827"/>
      <c r="DI8" s="827"/>
      <c r="DJ8" s="827"/>
      <c r="DK8" s="827"/>
      <c r="DL8" s="827"/>
      <c r="DM8" s="827"/>
      <c r="DN8" s="827"/>
      <c r="DO8" s="827"/>
      <c r="DP8" s="827"/>
      <c r="DQ8" s="827"/>
      <c r="DR8" s="827"/>
      <c r="DS8" s="827"/>
      <c r="DT8" s="827"/>
      <c r="DU8" s="827"/>
      <c r="DV8" s="827"/>
      <c r="DW8" s="827"/>
      <c r="DX8" s="827"/>
      <c r="DY8" s="827"/>
      <c r="DZ8" s="827"/>
      <c r="EA8" s="827"/>
      <c r="EB8" s="827"/>
      <c r="EC8" s="827"/>
      <c r="ED8" s="827"/>
      <c r="EE8" s="827"/>
      <c r="EF8" s="827"/>
      <c r="EG8" s="827"/>
      <c r="EH8" s="827"/>
      <c r="EI8" s="827"/>
      <c r="EJ8" s="827"/>
      <c r="EK8" s="827"/>
      <c r="EL8" s="827"/>
      <c r="EM8" s="827"/>
      <c r="EN8" s="827"/>
      <c r="EO8" s="827"/>
      <c r="EP8" s="827"/>
      <c r="EQ8" s="827"/>
      <c r="ER8" s="827"/>
      <c r="ES8" s="827"/>
      <c r="ET8" s="827"/>
      <c r="EU8" s="827"/>
      <c r="EV8" s="827"/>
      <c r="EW8" s="827"/>
      <c r="EX8" s="827"/>
      <c r="EY8" s="827"/>
      <c r="EZ8" s="827"/>
      <c r="FA8" s="827"/>
      <c r="FB8" s="827"/>
      <c r="FC8" s="827"/>
      <c r="FD8" s="827"/>
      <c r="FE8" s="827"/>
      <c r="FF8" s="827"/>
      <c r="FG8" s="827"/>
      <c r="FH8" s="827"/>
      <c r="FI8" s="827"/>
      <c r="FJ8" s="827"/>
      <c r="FK8" s="827"/>
      <c r="FL8" s="827"/>
      <c r="FM8" s="827"/>
      <c r="FN8" s="827"/>
      <c r="FO8" s="827"/>
      <c r="FP8" s="827"/>
      <c r="FQ8" s="827"/>
      <c r="FR8" s="827"/>
      <c r="FS8" s="827"/>
      <c r="FT8" s="827"/>
      <c r="FU8" s="827"/>
      <c r="FV8" s="827"/>
      <c r="FW8" s="827"/>
      <c r="FX8" s="827"/>
      <c r="FY8" s="827"/>
      <c r="FZ8" s="827"/>
      <c r="GA8" s="827"/>
      <c r="GB8" s="827"/>
      <c r="GC8" s="827"/>
      <c r="GD8" s="827"/>
      <c r="GE8" s="827"/>
      <c r="GF8" s="827"/>
      <c r="GG8" s="827"/>
      <c r="GH8" s="827"/>
      <c r="GI8" s="827"/>
      <c r="GJ8" s="827"/>
      <c r="GK8" s="827"/>
      <c r="GL8" s="827"/>
      <c r="GM8" s="827"/>
      <c r="GN8" s="827"/>
      <c r="GO8" s="827"/>
      <c r="GP8" s="827"/>
      <c r="GQ8" s="827"/>
      <c r="GR8" s="827"/>
      <c r="GS8" s="827"/>
      <c r="GT8" s="827"/>
      <c r="GU8" s="827"/>
      <c r="GV8" s="827"/>
      <c r="GW8" s="827"/>
      <c r="GX8" s="827"/>
      <c r="GY8" s="827"/>
      <c r="GZ8" s="827"/>
      <c r="HA8" s="827"/>
      <c r="HB8" s="827"/>
      <c r="HC8" s="827"/>
      <c r="HD8" s="828"/>
      <c r="HE8" s="827"/>
      <c r="HF8" s="827"/>
      <c r="HG8" s="829">
        <v>0.875</v>
      </c>
    </row>
    <row r="9" spans="1:215" ht="15" customHeight="1" x14ac:dyDescent="0.2">
      <c r="A9" s="463" t="s">
        <v>118</v>
      </c>
      <c r="B9" s="827"/>
      <c r="C9" s="827"/>
      <c r="D9" s="827"/>
      <c r="E9" s="827"/>
      <c r="F9" s="827"/>
      <c r="G9" s="827"/>
      <c r="H9" s="827"/>
      <c r="I9" s="827"/>
      <c r="J9" s="827"/>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7"/>
      <c r="AQ9" s="827"/>
      <c r="AR9" s="827"/>
      <c r="AS9" s="827"/>
      <c r="AT9" s="827"/>
      <c r="AU9" s="827"/>
      <c r="AV9" s="827"/>
      <c r="AW9" s="827"/>
      <c r="AX9" s="827"/>
      <c r="AY9" s="827"/>
      <c r="AZ9" s="827"/>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v>3.625</v>
      </c>
      <c r="BY9" s="827">
        <v>3.625</v>
      </c>
      <c r="BZ9" s="827">
        <v>3.625</v>
      </c>
      <c r="CA9" s="827"/>
      <c r="CB9" s="827"/>
      <c r="CC9" s="827"/>
      <c r="CD9" s="827"/>
      <c r="CE9" s="827"/>
      <c r="CF9" s="827"/>
      <c r="CG9" s="827"/>
      <c r="CH9" s="827"/>
      <c r="CI9" s="827"/>
      <c r="CJ9" s="827"/>
      <c r="CK9" s="827"/>
      <c r="CL9" s="827"/>
      <c r="CM9" s="827"/>
      <c r="CN9" s="827"/>
      <c r="CO9" s="827"/>
      <c r="CP9" s="827"/>
      <c r="CQ9" s="827"/>
      <c r="CR9" s="827"/>
      <c r="CS9" s="827"/>
      <c r="CT9" s="827"/>
      <c r="CU9" s="827"/>
      <c r="CV9" s="827"/>
      <c r="CW9" s="827"/>
      <c r="CX9" s="827"/>
      <c r="CY9" s="827"/>
      <c r="CZ9" s="827"/>
      <c r="DA9" s="827"/>
      <c r="DB9" s="827"/>
      <c r="DC9" s="827"/>
      <c r="DD9" s="827"/>
      <c r="DE9" s="827"/>
      <c r="DF9" s="827"/>
      <c r="DG9" s="827"/>
      <c r="DH9" s="827"/>
      <c r="DI9" s="827"/>
      <c r="DJ9" s="827"/>
      <c r="DK9" s="827"/>
      <c r="DL9" s="827"/>
      <c r="DM9" s="827"/>
      <c r="DN9" s="827"/>
      <c r="DO9" s="827"/>
      <c r="DP9" s="827"/>
      <c r="DQ9" s="827"/>
      <c r="DR9" s="827"/>
      <c r="DS9" s="827"/>
      <c r="DT9" s="827"/>
      <c r="DU9" s="827"/>
      <c r="DV9" s="827"/>
      <c r="DW9" s="827"/>
      <c r="DX9" s="827"/>
      <c r="DY9" s="827"/>
      <c r="DZ9" s="827"/>
      <c r="EA9" s="827"/>
      <c r="EB9" s="827"/>
      <c r="EC9" s="827"/>
      <c r="ED9" s="827"/>
      <c r="EE9" s="827"/>
      <c r="EF9" s="827"/>
      <c r="EG9" s="827"/>
      <c r="EH9" s="827"/>
      <c r="EI9" s="827"/>
      <c r="EJ9" s="827"/>
      <c r="EK9" s="827"/>
      <c r="EL9" s="827"/>
      <c r="EM9" s="827"/>
      <c r="EN9" s="827"/>
      <c r="EO9" s="827"/>
      <c r="EP9" s="827"/>
      <c r="EQ9" s="827"/>
      <c r="ER9" s="827"/>
      <c r="ES9" s="827"/>
      <c r="ET9" s="827"/>
      <c r="EU9" s="827"/>
      <c r="EV9" s="827"/>
      <c r="EW9" s="827"/>
      <c r="EX9" s="827"/>
      <c r="EY9" s="827"/>
      <c r="EZ9" s="827"/>
      <c r="FA9" s="827"/>
      <c r="FB9" s="827"/>
      <c r="FC9" s="827"/>
      <c r="FD9" s="827"/>
      <c r="FE9" s="827"/>
      <c r="FF9" s="827"/>
      <c r="FG9" s="827"/>
      <c r="FH9" s="827"/>
      <c r="FI9" s="827"/>
      <c r="FJ9" s="827"/>
      <c r="FK9" s="827"/>
      <c r="FL9" s="827"/>
      <c r="FM9" s="827"/>
      <c r="FN9" s="827"/>
      <c r="FO9" s="827"/>
      <c r="FP9" s="827"/>
      <c r="FQ9" s="827"/>
      <c r="FR9" s="827"/>
      <c r="FS9" s="827"/>
      <c r="FT9" s="827"/>
      <c r="FU9" s="827"/>
      <c r="FV9" s="827"/>
      <c r="FW9" s="827"/>
      <c r="FX9" s="827"/>
      <c r="FY9" s="827"/>
      <c r="FZ9" s="827"/>
      <c r="GA9" s="827"/>
      <c r="GB9" s="827"/>
      <c r="GC9" s="827"/>
      <c r="GD9" s="827"/>
      <c r="GE9" s="827"/>
      <c r="GF9" s="827"/>
      <c r="GG9" s="827"/>
      <c r="GH9" s="827"/>
      <c r="GI9" s="827"/>
      <c r="GJ9" s="827"/>
      <c r="GK9" s="827"/>
      <c r="GL9" s="827"/>
      <c r="GM9" s="827"/>
      <c r="GN9" s="827"/>
      <c r="GO9" s="827"/>
      <c r="GP9" s="827"/>
      <c r="GQ9" s="827"/>
      <c r="GR9" s="827"/>
      <c r="GS9" s="827"/>
      <c r="GT9" s="827"/>
      <c r="GU9" s="827"/>
      <c r="GV9" s="827"/>
      <c r="GW9" s="827"/>
      <c r="GX9" s="827"/>
      <c r="GY9" s="827"/>
      <c r="GZ9" s="827"/>
      <c r="HA9" s="827"/>
      <c r="HB9" s="827"/>
      <c r="HC9" s="827"/>
      <c r="HD9" s="828"/>
      <c r="HE9" s="827"/>
      <c r="HF9" s="827"/>
      <c r="HG9" s="829">
        <v>3.625</v>
      </c>
    </row>
    <row r="10" spans="1:215" ht="15" customHeight="1" x14ac:dyDescent="0.2">
      <c r="A10" s="463" t="s">
        <v>154</v>
      </c>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c r="AE10" s="827"/>
      <c r="AF10" s="827">
        <v>0.78537500000000005</v>
      </c>
      <c r="AG10" s="827">
        <v>0.78537500000000005</v>
      </c>
      <c r="AH10" s="827">
        <v>0.78537500000000005</v>
      </c>
      <c r="AI10" s="827"/>
      <c r="AJ10" s="827"/>
      <c r="AK10" s="827"/>
      <c r="AL10" s="827"/>
      <c r="AM10" s="827"/>
      <c r="AN10" s="827"/>
      <c r="AO10" s="827"/>
      <c r="AP10" s="827"/>
      <c r="AQ10" s="827"/>
      <c r="AR10" s="827"/>
      <c r="AS10" s="827"/>
      <c r="AT10" s="827"/>
      <c r="AU10" s="827"/>
      <c r="AV10" s="827"/>
      <c r="AW10" s="827"/>
      <c r="AX10" s="827"/>
      <c r="AY10" s="827"/>
      <c r="AZ10" s="827"/>
      <c r="BA10" s="827"/>
      <c r="BB10" s="827"/>
      <c r="BC10" s="827"/>
      <c r="BD10" s="827"/>
      <c r="BE10" s="827"/>
      <c r="BF10" s="827"/>
      <c r="BG10" s="827"/>
      <c r="BH10" s="827"/>
      <c r="BI10" s="827"/>
      <c r="BJ10" s="827"/>
      <c r="BK10" s="827"/>
      <c r="BL10" s="827"/>
      <c r="BM10" s="827"/>
      <c r="BN10" s="827"/>
      <c r="BO10" s="827"/>
      <c r="BP10" s="827"/>
      <c r="BQ10" s="827"/>
      <c r="BR10" s="827"/>
      <c r="BS10" s="827"/>
      <c r="BT10" s="827"/>
      <c r="BU10" s="827"/>
      <c r="BV10" s="827"/>
      <c r="BW10" s="827"/>
      <c r="BX10" s="827"/>
      <c r="BY10" s="827"/>
      <c r="BZ10" s="827"/>
      <c r="CA10" s="827"/>
      <c r="CB10" s="827"/>
      <c r="CC10" s="827"/>
      <c r="CD10" s="827"/>
      <c r="CE10" s="827"/>
      <c r="CF10" s="827"/>
      <c r="CG10" s="827"/>
      <c r="CH10" s="827"/>
      <c r="CI10" s="827"/>
      <c r="CJ10" s="827"/>
      <c r="CK10" s="827"/>
      <c r="CL10" s="827"/>
      <c r="CM10" s="827"/>
      <c r="CN10" s="827"/>
      <c r="CO10" s="827"/>
      <c r="CP10" s="827"/>
      <c r="CQ10" s="827"/>
      <c r="CR10" s="827"/>
      <c r="CS10" s="827"/>
      <c r="CT10" s="827"/>
      <c r="CU10" s="827"/>
      <c r="CV10" s="827"/>
      <c r="CW10" s="827"/>
      <c r="CX10" s="827"/>
      <c r="CY10" s="827"/>
      <c r="CZ10" s="827"/>
      <c r="DA10" s="827"/>
      <c r="DB10" s="827"/>
      <c r="DC10" s="827"/>
      <c r="DD10" s="827"/>
      <c r="DE10" s="827"/>
      <c r="DF10" s="827"/>
      <c r="DG10" s="827"/>
      <c r="DH10" s="827"/>
      <c r="DI10" s="827"/>
      <c r="DJ10" s="827"/>
      <c r="DK10" s="827"/>
      <c r="DL10" s="827"/>
      <c r="DM10" s="827"/>
      <c r="DN10" s="827"/>
      <c r="DO10" s="827"/>
      <c r="DP10" s="827"/>
      <c r="DQ10" s="827"/>
      <c r="DR10" s="827"/>
      <c r="DS10" s="827"/>
      <c r="DT10" s="827"/>
      <c r="DU10" s="827"/>
      <c r="DV10" s="827"/>
      <c r="DW10" s="827"/>
      <c r="DX10" s="827"/>
      <c r="DY10" s="827"/>
      <c r="DZ10" s="827"/>
      <c r="EA10" s="827"/>
      <c r="EB10" s="827"/>
      <c r="EC10" s="827"/>
      <c r="ED10" s="827"/>
      <c r="EE10" s="827"/>
      <c r="EF10" s="827"/>
      <c r="EG10" s="827"/>
      <c r="EH10" s="827"/>
      <c r="EI10" s="827"/>
      <c r="EJ10" s="827"/>
      <c r="EK10" s="827"/>
      <c r="EL10" s="827"/>
      <c r="EM10" s="827"/>
      <c r="EN10" s="827"/>
      <c r="EO10" s="827"/>
      <c r="EP10" s="827"/>
      <c r="EQ10" s="827"/>
      <c r="ER10" s="827"/>
      <c r="ES10" s="827"/>
      <c r="ET10" s="827"/>
      <c r="EU10" s="827"/>
      <c r="EV10" s="827"/>
      <c r="EW10" s="827"/>
      <c r="EX10" s="827"/>
      <c r="EY10" s="827"/>
      <c r="EZ10" s="827"/>
      <c r="FA10" s="827"/>
      <c r="FB10" s="827"/>
      <c r="FC10" s="827"/>
      <c r="FD10" s="827"/>
      <c r="FE10" s="827"/>
      <c r="FF10" s="827"/>
      <c r="FG10" s="827"/>
      <c r="FH10" s="827"/>
      <c r="FI10" s="827"/>
      <c r="FJ10" s="827"/>
      <c r="FK10" s="827"/>
      <c r="FL10" s="827"/>
      <c r="FM10" s="827"/>
      <c r="FN10" s="827"/>
      <c r="FO10" s="827"/>
      <c r="FP10" s="827"/>
      <c r="FQ10" s="827"/>
      <c r="FR10" s="827"/>
      <c r="FS10" s="827"/>
      <c r="FT10" s="827"/>
      <c r="FU10" s="827"/>
      <c r="FV10" s="827"/>
      <c r="FW10" s="827"/>
      <c r="FX10" s="827"/>
      <c r="FY10" s="827"/>
      <c r="FZ10" s="827"/>
      <c r="GA10" s="827"/>
      <c r="GB10" s="827"/>
      <c r="GC10" s="827"/>
      <c r="GD10" s="827"/>
      <c r="GE10" s="827"/>
      <c r="GF10" s="827"/>
      <c r="GG10" s="827"/>
      <c r="GH10" s="827"/>
      <c r="GI10" s="827"/>
      <c r="GJ10" s="827"/>
      <c r="GK10" s="827"/>
      <c r="GL10" s="827"/>
      <c r="GM10" s="827"/>
      <c r="GN10" s="827"/>
      <c r="GO10" s="827"/>
      <c r="GP10" s="827"/>
      <c r="GQ10" s="827"/>
      <c r="GR10" s="827"/>
      <c r="GS10" s="827"/>
      <c r="GT10" s="827"/>
      <c r="GU10" s="827"/>
      <c r="GV10" s="827"/>
      <c r="GW10" s="827"/>
      <c r="GX10" s="827"/>
      <c r="GY10" s="827"/>
      <c r="GZ10" s="827"/>
      <c r="HA10" s="827"/>
      <c r="HB10" s="827"/>
      <c r="HC10" s="827"/>
      <c r="HD10" s="828"/>
      <c r="HE10" s="827"/>
      <c r="HF10" s="827"/>
      <c r="HG10" s="829">
        <v>0.78537500000000005</v>
      </c>
    </row>
    <row r="11" spans="1:215" ht="15" customHeight="1" x14ac:dyDescent="0.2">
      <c r="A11" s="463" t="s">
        <v>80</v>
      </c>
      <c r="B11" s="827"/>
      <c r="C11" s="827"/>
      <c r="D11" s="827"/>
      <c r="E11" s="827"/>
      <c r="F11" s="827"/>
      <c r="G11" s="827"/>
      <c r="H11" s="827"/>
      <c r="I11" s="827"/>
      <c r="J11" s="827"/>
      <c r="K11" s="827"/>
      <c r="L11" s="827"/>
      <c r="M11" s="827"/>
      <c r="N11" s="827"/>
      <c r="O11" s="827"/>
      <c r="P11" s="827"/>
      <c r="Q11" s="827"/>
      <c r="R11" s="827"/>
      <c r="S11" s="827"/>
      <c r="T11" s="827"/>
      <c r="U11" s="827"/>
      <c r="V11" s="827"/>
      <c r="W11" s="827"/>
      <c r="X11" s="827"/>
      <c r="Y11" s="827"/>
      <c r="Z11" s="827"/>
      <c r="AA11" s="827"/>
      <c r="AB11" s="827"/>
      <c r="AC11" s="827"/>
      <c r="AD11" s="827"/>
      <c r="AE11" s="827"/>
      <c r="AF11" s="827"/>
      <c r="AG11" s="827"/>
      <c r="AH11" s="827"/>
      <c r="AI11" s="827"/>
      <c r="AJ11" s="827"/>
      <c r="AK11" s="827"/>
      <c r="AL11" s="827"/>
      <c r="AM11" s="827"/>
      <c r="AN11" s="827">
        <v>1</v>
      </c>
      <c r="AO11" s="827">
        <v>1</v>
      </c>
      <c r="AP11" s="827">
        <v>1</v>
      </c>
      <c r="AQ11" s="827"/>
      <c r="AR11" s="827"/>
      <c r="AS11" s="827"/>
      <c r="AT11" s="827"/>
      <c r="AU11" s="827"/>
      <c r="AV11" s="827"/>
      <c r="AW11" s="827"/>
      <c r="AX11" s="827"/>
      <c r="AY11" s="827"/>
      <c r="AZ11" s="827"/>
      <c r="BA11" s="827"/>
      <c r="BB11" s="827"/>
      <c r="BC11" s="827"/>
      <c r="BD11" s="827"/>
      <c r="BE11" s="827"/>
      <c r="BF11" s="827"/>
      <c r="BG11" s="827"/>
      <c r="BH11" s="827"/>
      <c r="BI11" s="827"/>
      <c r="BJ11" s="827"/>
      <c r="BK11" s="827"/>
      <c r="BL11" s="827"/>
      <c r="BM11" s="827"/>
      <c r="BN11" s="827"/>
      <c r="BO11" s="827"/>
      <c r="BP11" s="827"/>
      <c r="BQ11" s="827"/>
      <c r="BR11" s="827"/>
      <c r="BS11" s="827"/>
      <c r="BT11" s="827"/>
      <c r="BU11" s="827"/>
      <c r="BV11" s="827"/>
      <c r="BW11" s="827"/>
      <c r="BX11" s="827"/>
      <c r="BY11" s="827"/>
      <c r="BZ11" s="827"/>
      <c r="CA11" s="827"/>
      <c r="CB11" s="827"/>
      <c r="CC11" s="827"/>
      <c r="CD11" s="827"/>
      <c r="CE11" s="827"/>
      <c r="CF11" s="827"/>
      <c r="CG11" s="827"/>
      <c r="CH11" s="827"/>
      <c r="CI11" s="827"/>
      <c r="CJ11" s="827"/>
      <c r="CK11" s="827"/>
      <c r="CL11" s="827"/>
      <c r="CM11" s="827"/>
      <c r="CN11" s="827"/>
      <c r="CO11" s="827"/>
      <c r="CP11" s="827"/>
      <c r="CQ11" s="827"/>
      <c r="CR11" s="827"/>
      <c r="CS11" s="827"/>
      <c r="CT11" s="827"/>
      <c r="CU11" s="827"/>
      <c r="CV11" s="827"/>
      <c r="CW11" s="827"/>
      <c r="CX11" s="827"/>
      <c r="CY11" s="827"/>
      <c r="CZ11" s="827"/>
      <c r="DA11" s="827"/>
      <c r="DB11" s="827"/>
      <c r="DC11" s="827"/>
      <c r="DD11" s="827"/>
      <c r="DE11" s="827"/>
      <c r="DF11" s="827"/>
      <c r="DG11" s="827"/>
      <c r="DH11" s="827"/>
      <c r="DI11" s="827"/>
      <c r="DJ11" s="827"/>
      <c r="DK11" s="827"/>
      <c r="DL11" s="827"/>
      <c r="DM11" s="827"/>
      <c r="DN11" s="827"/>
      <c r="DO11" s="827"/>
      <c r="DP11" s="827"/>
      <c r="DQ11" s="827"/>
      <c r="DR11" s="827"/>
      <c r="DS11" s="827"/>
      <c r="DT11" s="827"/>
      <c r="DU11" s="827"/>
      <c r="DV11" s="827"/>
      <c r="DW11" s="827"/>
      <c r="DX11" s="827"/>
      <c r="DY11" s="827"/>
      <c r="DZ11" s="827"/>
      <c r="EA11" s="827"/>
      <c r="EB11" s="827"/>
      <c r="EC11" s="827"/>
      <c r="ED11" s="827"/>
      <c r="EE11" s="827"/>
      <c r="EF11" s="827"/>
      <c r="EG11" s="827"/>
      <c r="EH11" s="827"/>
      <c r="EI11" s="827"/>
      <c r="EJ11" s="827"/>
      <c r="EK11" s="827"/>
      <c r="EL11" s="827"/>
      <c r="EM11" s="827"/>
      <c r="EN11" s="827"/>
      <c r="EO11" s="827"/>
      <c r="EP11" s="827"/>
      <c r="EQ11" s="827"/>
      <c r="ER11" s="827"/>
      <c r="ES11" s="827"/>
      <c r="ET11" s="827"/>
      <c r="EU11" s="827"/>
      <c r="EV11" s="827"/>
      <c r="EW11" s="827"/>
      <c r="EX11" s="827"/>
      <c r="EY11" s="827"/>
      <c r="EZ11" s="827"/>
      <c r="FA11" s="827"/>
      <c r="FB11" s="827"/>
      <c r="FC11" s="827"/>
      <c r="FD11" s="827"/>
      <c r="FE11" s="827"/>
      <c r="FF11" s="827"/>
      <c r="FG11" s="827"/>
      <c r="FH11" s="827"/>
      <c r="FI11" s="827"/>
      <c r="FJ11" s="827"/>
      <c r="FK11" s="827"/>
      <c r="FL11" s="827"/>
      <c r="FM11" s="827"/>
      <c r="FN11" s="827"/>
      <c r="FO11" s="827"/>
      <c r="FP11" s="827"/>
      <c r="FQ11" s="827"/>
      <c r="FR11" s="827"/>
      <c r="FS11" s="827"/>
      <c r="FT11" s="827"/>
      <c r="FU11" s="827"/>
      <c r="FV11" s="827"/>
      <c r="FW11" s="827"/>
      <c r="FX11" s="827"/>
      <c r="FY11" s="827"/>
      <c r="FZ11" s="827"/>
      <c r="GA11" s="827"/>
      <c r="GB11" s="827"/>
      <c r="GC11" s="827"/>
      <c r="GD11" s="827"/>
      <c r="GE11" s="827"/>
      <c r="GF11" s="827"/>
      <c r="GG11" s="827"/>
      <c r="GH11" s="827"/>
      <c r="GI11" s="827"/>
      <c r="GJ11" s="827"/>
      <c r="GK11" s="827"/>
      <c r="GL11" s="827"/>
      <c r="GM11" s="827"/>
      <c r="GN11" s="827"/>
      <c r="GO11" s="827"/>
      <c r="GP11" s="827"/>
      <c r="GQ11" s="827"/>
      <c r="GR11" s="827"/>
      <c r="GS11" s="827"/>
      <c r="GT11" s="827"/>
      <c r="GU11" s="827"/>
      <c r="GV11" s="827"/>
      <c r="GW11" s="827"/>
      <c r="GX11" s="827"/>
      <c r="GY11" s="827"/>
      <c r="GZ11" s="827"/>
      <c r="HA11" s="827"/>
      <c r="HB11" s="827"/>
      <c r="HC11" s="827"/>
      <c r="HD11" s="828"/>
      <c r="HE11" s="827"/>
      <c r="HF11" s="827"/>
      <c r="HG11" s="829">
        <v>1</v>
      </c>
    </row>
    <row r="12" spans="1:215" ht="15" customHeight="1" x14ac:dyDescent="0.2">
      <c r="A12" s="463" t="s">
        <v>156</v>
      </c>
      <c r="B12" s="827"/>
      <c r="C12" s="827"/>
      <c r="D12" s="827"/>
      <c r="E12" s="827"/>
      <c r="F12" s="827"/>
      <c r="G12" s="827"/>
      <c r="H12" s="827"/>
      <c r="I12" s="827"/>
      <c r="J12" s="827"/>
      <c r="K12" s="827"/>
      <c r="L12" s="827"/>
      <c r="M12" s="827"/>
      <c r="N12" s="827"/>
      <c r="O12" s="827"/>
      <c r="P12" s="827"/>
      <c r="Q12" s="827"/>
      <c r="R12" s="827"/>
      <c r="S12" s="827"/>
      <c r="T12" s="827"/>
      <c r="U12" s="827"/>
      <c r="V12" s="827"/>
      <c r="W12" s="827"/>
      <c r="X12" s="827"/>
      <c r="Y12" s="827"/>
      <c r="Z12" s="827"/>
      <c r="AA12" s="827"/>
      <c r="AB12" s="827"/>
      <c r="AC12" s="827"/>
      <c r="AD12" s="827"/>
      <c r="AE12" s="827"/>
      <c r="AF12" s="827"/>
      <c r="AG12" s="827"/>
      <c r="AH12" s="827"/>
      <c r="AI12" s="827"/>
      <c r="AJ12" s="827"/>
      <c r="AK12" s="827"/>
      <c r="AL12" s="827"/>
      <c r="AM12" s="827"/>
      <c r="AN12" s="827"/>
      <c r="AO12" s="827"/>
      <c r="AP12" s="827"/>
      <c r="AQ12" s="827"/>
      <c r="AR12" s="827"/>
      <c r="AS12" s="827"/>
      <c r="AT12" s="827"/>
      <c r="AU12" s="827"/>
      <c r="AV12" s="827"/>
      <c r="AW12" s="827"/>
      <c r="AX12" s="827"/>
      <c r="AY12" s="827"/>
      <c r="AZ12" s="827"/>
      <c r="BA12" s="827"/>
      <c r="BB12" s="827"/>
      <c r="BC12" s="827"/>
      <c r="BD12" s="827"/>
      <c r="BE12" s="827"/>
      <c r="BF12" s="827">
        <v>1.7070695530814692</v>
      </c>
      <c r="BG12" s="827">
        <v>1.7070695530814692</v>
      </c>
      <c r="BH12" s="827">
        <v>1.7070695530814692</v>
      </c>
      <c r="BI12" s="827"/>
      <c r="BJ12" s="827"/>
      <c r="BK12" s="827"/>
      <c r="BL12" s="827"/>
      <c r="BM12" s="827"/>
      <c r="BN12" s="827"/>
      <c r="BO12" s="827"/>
      <c r="BP12" s="827"/>
      <c r="BQ12" s="827"/>
      <c r="BR12" s="827"/>
      <c r="BS12" s="827"/>
      <c r="BT12" s="827"/>
      <c r="BU12" s="827"/>
      <c r="BV12" s="827"/>
      <c r="BW12" s="827"/>
      <c r="BX12" s="827"/>
      <c r="BY12" s="827"/>
      <c r="BZ12" s="827"/>
      <c r="CA12" s="827"/>
      <c r="CB12" s="827"/>
      <c r="CC12" s="827"/>
      <c r="CD12" s="827"/>
      <c r="CE12" s="827"/>
      <c r="CF12" s="827"/>
      <c r="CG12" s="827"/>
      <c r="CH12" s="827"/>
      <c r="CI12" s="827"/>
      <c r="CJ12" s="827"/>
      <c r="CK12" s="827"/>
      <c r="CL12" s="827"/>
      <c r="CM12" s="827"/>
      <c r="CN12" s="827"/>
      <c r="CO12" s="827"/>
      <c r="CP12" s="827"/>
      <c r="CQ12" s="827"/>
      <c r="CR12" s="827"/>
      <c r="CS12" s="827"/>
      <c r="CT12" s="827"/>
      <c r="CU12" s="827"/>
      <c r="CV12" s="827"/>
      <c r="CW12" s="827"/>
      <c r="CX12" s="827"/>
      <c r="CY12" s="827"/>
      <c r="CZ12" s="827"/>
      <c r="DA12" s="827"/>
      <c r="DB12" s="827"/>
      <c r="DC12" s="827"/>
      <c r="DD12" s="827"/>
      <c r="DE12" s="827"/>
      <c r="DF12" s="827"/>
      <c r="DG12" s="827"/>
      <c r="DH12" s="827"/>
      <c r="DI12" s="827"/>
      <c r="DJ12" s="827"/>
      <c r="DK12" s="827"/>
      <c r="DL12" s="827"/>
      <c r="DM12" s="827"/>
      <c r="DN12" s="827"/>
      <c r="DO12" s="827"/>
      <c r="DP12" s="827"/>
      <c r="DQ12" s="827"/>
      <c r="DR12" s="827"/>
      <c r="DS12" s="827"/>
      <c r="DT12" s="827"/>
      <c r="DU12" s="827"/>
      <c r="DV12" s="827"/>
      <c r="DW12" s="827"/>
      <c r="DX12" s="827"/>
      <c r="DY12" s="827"/>
      <c r="DZ12" s="827"/>
      <c r="EA12" s="827"/>
      <c r="EB12" s="827"/>
      <c r="EC12" s="827"/>
      <c r="ED12" s="827"/>
      <c r="EE12" s="827"/>
      <c r="EF12" s="827"/>
      <c r="EG12" s="827"/>
      <c r="EH12" s="827"/>
      <c r="EI12" s="827"/>
      <c r="EJ12" s="827"/>
      <c r="EK12" s="827"/>
      <c r="EL12" s="827"/>
      <c r="EM12" s="827"/>
      <c r="EN12" s="827"/>
      <c r="EO12" s="827"/>
      <c r="EP12" s="827"/>
      <c r="EQ12" s="827"/>
      <c r="ER12" s="827"/>
      <c r="ES12" s="827"/>
      <c r="ET12" s="827"/>
      <c r="EU12" s="827"/>
      <c r="EV12" s="827"/>
      <c r="EW12" s="827"/>
      <c r="EX12" s="827"/>
      <c r="EY12" s="827"/>
      <c r="EZ12" s="827"/>
      <c r="FA12" s="827"/>
      <c r="FB12" s="827"/>
      <c r="FC12" s="827"/>
      <c r="FD12" s="827"/>
      <c r="FE12" s="827"/>
      <c r="FF12" s="827"/>
      <c r="FG12" s="827"/>
      <c r="FH12" s="827"/>
      <c r="FI12" s="827"/>
      <c r="FJ12" s="827"/>
      <c r="FK12" s="827"/>
      <c r="FL12" s="827"/>
      <c r="FM12" s="827"/>
      <c r="FN12" s="827"/>
      <c r="FO12" s="827"/>
      <c r="FP12" s="827"/>
      <c r="FQ12" s="827"/>
      <c r="FR12" s="827"/>
      <c r="FS12" s="827"/>
      <c r="FT12" s="827"/>
      <c r="FU12" s="827"/>
      <c r="FV12" s="827"/>
      <c r="FW12" s="827"/>
      <c r="FX12" s="827"/>
      <c r="FY12" s="827"/>
      <c r="FZ12" s="827"/>
      <c r="GA12" s="827"/>
      <c r="GB12" s="827"/>
      <c r="GC12" s="827"/>
      <c r="GD12" s="827"/>
      <c r="GE12" s="827"/>
      <c r="GF12" s="827"/>
      <c r="GG12" s="827"/>
      <c r="GH12" s="827"/>
      <c r="GI12" s="827"/>
      <c r="GJ12" s="827"/>
      <c r="GK12" s="827"/>
      <c r="GL12" s="827"/>
      <c r="GM12" s="827"/>
      <c r="GN12" s="827"/>
      <c r="GO12" s="827"/>
      <c r="GP12" s="827"/>
      <c r="GQ12" s="827"/>
      <c r="GR12" s="827"/>
      <c r="GS12" s="827"/>
      <c r="GT12" s="827"/>
      <c r="GU12" s="827"/>
      <c r="GV12" s="827"/>
      <c r="GW12" s="827"/>
      <c r="GX12" s="827"/>
      <c r="GY12" s="827"/>
      <c r="GZ12" s="827"/>
      <c r="HA12" s="827"/>
      <c r="HB12" s="827"/>
      <c r="HC12" s="827"/>
      <c r="HD12" s="828"/>
      <c r="HE12" s="827"/>
      <c r="HF12" s="827"/>
      <c r="HG12" s="829">
        <v>1.7070695530814692</v>
      </c>
    </row>
    <row r="13" spans="1:215" ht="15" customHeight="1" x14ac:dyDescent="0.2">
      <c r="A13" s="463" t="s">
        <v>155</v>
      </c>
      <c r="B13" s="827"/>
      <c r="C13" s="827"/>
      <c r="D13" s="827"/>
      <c r="E13" s="827"/>
      <c r="F13" s="827"/>
      <c r="G13" s="827"/>
      <c r="H13" s="827"/>
      <c r="I13" s="827"/>
      <c r="J13" s="827"/>
      <c r="K13" s="827"/>
      <c r="L13" s="827"/>
      <c r="M13" s="827"/>
      <c r="N13" s="827"/>
      <c r="O13" s="827"/>
      <c r="P13" s="827"/>
      <c r="Q13" s="827"/>
      <c r="R13" s="827"/>
      <c r="S13" s="827"/>
      <c r="T13" s="827"/>
      <c r="U13" s="827"/>
      <c r="V13" s="827"/>
      <c r="W13" s="827"/>
      <c r="X13" s="827"/>
      <c r="Y13" s="827"/>
      <c r="Z13" s="827"/>
      <c r="AA13" s="827"/>
      <c r="AB13" s="827"/>
      <c r="AC13" s="827"/>
      <c r="AD13" s="827"/>
      <c r="AE13" s="827"/>
      <c r="AF13" s="827"/>
      <c r="AG13" s="827"/>
      <c r="AH13" s="827"/>
      <c r="AI13" s="827"/>
      <c r="AJ13" s="827"/>
      <c r="AK13" s="827"/>
      <c r="AL13" s="827"/>
      <c r="AM13" s="827"/>
      <c r="AN13" s="827"/>
      <c r="AO13" s="827"/>
      <c r="AP13" s="827"/>
      <c r="AQ13" s="827"/>
      <c r="AR13" s="827"/>
      <c r="AS13" s="827"/>
      <c r="AT13" s="827"/>
      <c r="AU13" s="827"/>
      <c r="AV13" s="827"/>
      <c r="AW13" s="827"/>
      <c r="AX13" s="827"/>
      <c r="AY13" s="827"/>
      <c r="AZ13" s="827"/>
      <c r="BA13" s="827"/>
      <c r="BB13" s="827"/>
      <c r="BC13" s="827"/>
      <c r="BD13" s="827"/>
      <c r="BE13" s="827"/>
      <c r="BF13" s="827"/>
      <c r="BG13" s="827"/>
      <c r="BH13" s="827"/>
      <c r="BI13" s="827"/>
      <c r="BJ13" s="827"/>
      <c r="BK13" s="827"/>
      <c r="BL13" s="827"/>
      <c r="BM13" s="827"/>
      <c r="BN13" s="827"/>
      <c r="BO13" s="827"/>
      <c r="BP13" s="827"/>
      <c r="BQ13" s="827"/>
      <c r="BR13" s="827"/>
      <c r="BS13" s="827"/>
      <c r="BT13" s="827"/>
      <c r="BU13" s="827"/>
      <c r="BV13" s="827"/>
      <c r="BW13" s="827"/>
      <c r="BX13" s="827"/>
      <c r="BY13" s="827"/>
      <c r="BZ13" s="827"/>
      <c r="CA13" s="827"/>
      <c r="CB13" s="827"/>
      <c r="CC13" s="827"/>
      <c r="CD13" s="827"/>
      <c r="CE13" s="827"/>
      <c r="CF13" s="827"/>
      <c r="CG13" s="827"/>
      <c r="CH13" s="827"/>
      <c r="CI13" s="827"/>
      <c r="CJ13" s="827"/>
      <c r="CK13" s="827"/>
      <c r="CL13" s="827"/>
      <c r="CM13" s="827"/>
      <c r="CN13" s="827"/>
      <c r="CO13" s="827"/>
      <c r="CP13" s="827"/>
      <c r="CQ13" s="827"/>
      <c r="CR13" s="827"/>
      <c r="CS13" s="827"/>
      <c r="CT13" s="827"/>
      <c r="CU13" s="827"/>
      <c r="CV13" s="827"/>
      <c r="CW13" s="827"/>
      <c r="CX13" s="827"/>
      <c r="CY13" s="827"/>
      <c r="CZ13" s="827"/>
      <c r="DA13" s="827"/>
      <c r="DB13" s="827"/>
      <c r="DC13" s="827"/>
      <c r="DD13" s="827"/>
      <c r="DE13" s="827">
        <v>17.330301714933828</v>
      </c>
      <c r="DF13" s="827">
        <v>17.330301714933828</v>
      </c>
      <c r="DG13" s="827">
        <v>17.330301714933828</v>
      </c>
      <c r="DH13" s="827"/>
      <c r="DI13" s="827"/>
      <c r="DJ13" s="827"/>
      <c r="DK13" s="827"/>
      <c r="DL13" s="827"/>
      <c r="DM13" s="827"/>
      <c r="DN13" s="827"/>
      <c r="DO13" s="827"/>
      <c r="DP13" s="827"/>
      <c r="DQ13" s="827"/>
      <c r="DR13" s="827"/>
      <c r="DS13" s="827"/>
      <c r="DT13" s="827"/>
      <c r="DU13" s="827"/>
      <c r="DV13" s="827"/>
      <c r="DW13" s="827"/>
      <c r="DX13" s="827"/>
      <c r="DY13" s="827"/>
      <c r="DZ13" s="827"/>
      <c r="EA13" s="827"/>
      <c r="EB13" s="827"/>
      <c r="EC13" s="827"/>
      <c r="ED13" s="827"/>
      <c r="EE13" s="827"/>
      <c r="EF13" s="827"/>
      <c r="EG13" s="827"/>
      <c r="EH13" s="827"/>
      <c r="EI13" s="827"/>
      <c r="EJ13" s="827"/>
      <c r="EK13" s="827"/>
      <c r="EL13" s="827"/>
      <c r="EM13" s="827"/>
      <c r="EN13" s="827"/>
      <c r="EO13" s="827"/>
      <c r="EP13" s="827"/>
      <c r="EQ13" s="827"/>
      <c r="ER13" s="827"/>
      <c r="ES13" s="827"/>
      <c r="ET13" s="827"/>
      <c r="EU13" s="827"/>
      <c r="EV13" s="827"/>
      <c r="EW13" s="827"/>
      <c r="EX13" s="827"/>
      <c r="EY13" s="827"/>
      <c r="EZ13" s="827"/>
      <c r="FA13" s="827"/>
      <c r="FB13" s="827"/>
      <c r="FC13" s="827"/>
      <c r="FD13" s="827"/>
      <c r="FE13" s="827"/>
      <c r="FF13" s="827"/>
      <c r="FG13" s="827"/>
      <c r="FH13" s="827"/>
      <c r="FI13" s="827"/>
      <c r="FJ13" s="827"/>
      <c r="FK13" s="827"/>
      <c r="FL13" s="827"/>
      <c r="FM13" s="827"/>
      <c r="FN13" s="827"/>
      <c r="FO13" s="827"/>
      <c r="FP13" s="827"/>
      <c r="FQ13" s="827"/>
      <c r="FR13" s="827"/>
      <c r="FS13" s="827"/>
      <c r="FT13" s="827"/>
      <c r="FU13" s="827"/>
      <c r="FV13" s="827"/>
      <c r="FW13" s="827"/>
      <c r="FX13" s="827"/>
      <c r="FY13" s="827"/>
      <c r="FZ13" s="827"/>
      <c r="GA13" s="827"/>
      <c r="GB13" s="827"/>
      <c r="GC13" s="827"/>
      <c r="GD13" s="827"/>
      <c r="GE13" s="827"/>
      <c r="GF13" s="827"/>
      <c r="GG13" s="827"/>
      <c r="GH13" s="827"/>
      <c r="GI13" s="827"/>
      <c r="GJ13" s="827"/>
      <c r="GK13" s="827"/>
      <c r="GL13" s="827"/>
      <c r="GM13" s="827"/>
      <c r="GN13" s="827"/>
      <c r="GO13" s="827"/>
      <c r="GP13" s="827"/>
      <c r="GQ13" s="827"/>
      <c r="GR13" s="827"/>
      <c r="GS13" s="827"/>
      <c r="GT13" s="827"/>
      <c r="GU13" s="827"/>
      <c r="GV13" s="827"/>
      <c r="GW13" s="827"/>
      <c r="GX13" s="827"/>
      <c r="GY13" s="827"/>
      <c r="GZ13" s="827"/>
      <c r="HA13" s="827"/>
      <c r="HB13" s="827"/>
      <c r="HC13" s="827"/>
      <c r="HD13" s="828"/>
      <c r="HE13" s="827"/>
      <c r="HF13" s="827"/>
      <c r="HG13" s="829">
        <v>17.330301714933828</v>
      </c>
    </row>
    <row r="14" spans="1:215" ht="15" customHeight="1" x14ac:dyDescent="0.2">
      <c r="A14" s="463" t="s">
        <v>164</v>
      </c>
      <c r="B14" s="827"/>
      <c r="C14" s="827"/>
      <c r="D14" s="827"/>
      <c r="E14" s="827"/>
      <c r="F14" s="827"/>
      <c r="G14" s="827"/>
      <c r="H14" s="827"/>
      <c r="I14" s="827"/>
      <c r="J14" s="827"/>
      <c r="K14" s="827"/>
      <c r="L14" s="827"/>
      <c r="M14" s="827"/>
      <c r="N14" s="827"/>
      <c r="O14" s="827"/>
      <c r="P14" s="827"/>
      <c r="Q14" s="827"/>
      <c r="R14" s="827"/>
      <c r="S14" s="827"/>
      <c r="T14" s="827"/>
      <c r="U14" s="827"/>
      <c r="V14" s="827"/>
      <c r="W14" s="827"/>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7"/>
      <c r="AY14" s="827"/>
      <c r="AZ14" s="827"/>
      <c r="BA14" s="827"/>
      <c r="BB14" s="827"/>
      <c r="BC14" s="827"/>
      <c r="BD14" s="827"/>
      <c r="BE14" s="827"/>
      <c r="BF14" s="827"/>
      <c r="BG14" s="827"/>
      <c r="BH14" s="827"/>
      <c r="BI14" s="827"/>
      <c r="BJ14" s="827"/>
      <c r="BK14" s="827"/>
      <c r="BL14" s="827"/>
      <c r="BM14" s="827"/>
      <c r="BN14" s="827"/>
      <c r="BO14" s="827"/>
      <c r="BP14" s="827"/>
      <c r="BQ14" s="827"/>
      <c r="BR14" s="827"/>
      <c r="BS14" s="827"/>
      <c r="BT14" s="827"/>
      <c r="BU14" s="827"/>
      <c r="BV14" s="827"/>
      <c r="BW14" s="827"/>
      <c r="BX14" s="827"/>
      <c r="BY14" s="827"/>
      <c r="BZ14" s="827"/>
      <c r="CA14" s="827"/>
      <c r="CB14" s="827"/>
      <c r="CC14" s="827"/>
      <c r="CD14" s="827"/>
      <c r="CE14" s="827"/>
      <c r="CF14" s="827"/>
      <c r="CG14" s="827"/>
      <c r="CH14" s="827"/>
      <c r="CI14" s="827"/>
      <c r="CJ14" s="827"/>
      <c r="CK14" s="827"/>
      <c r="CL14" s="827"/>
      <c r="CM14" s="827"/>
      <c r="CN14" s="827"/>
      <c r="CO14" s="827"/>
      <c r="CP14" s="827"/>
      <c r="CQ14" s="827"/>
      <c r="CR14" s="827"/>
      <c r="CS14" s="827"/>
      <c r="CT14" s="827"/>
      <c r="CU14" s="827"/>
      <c r="CV14" s="827"/>
      <c r="CW14" s="827"/>
      <c r="CX14" s="827"/>
      <c r="CY14" s="827"/>
      <c r="CZ14" s="827"/>
      <c r="DA14" s="827"/>
      <c r="DB14" s="827"/>
      <c r="DC14" s="827"/>
      <c r="DD14" s="827"/>
      <c r="DE14" s="827"/>
      <c r="DF14" s="827"/>
      <c r="DG14" s="827"/>
      <c r="DH14" s="827"/>
      <c r="DI14" s="827"/>
      <c r="DJ14" s="827"/>
      <c r="DK14" s="827"/>
      <c r="DL14" s="827"/>
      <c r="DM14" s="827"/>
      <c r="DN14" s="827"/>
      <c r="DO14" s="827"/>
      <c r="DP14" s="827"/>
      <c r="DQ14" s="827"/>
      <c r="DR14" s="827"/>
      <c r="DS14" s="827"/>
      <c r="DT14" s="827"/>
      <c r="DU14" s="827"/>
      <c r="DV14" s="827"/>
      <c r="DW14" s="827"/>
      <c r="DX14" s="827"/>
      <c r="DY14" s="827"/>
      <c r="DZ14" s="827"/>
      <c r="EA14" s="827"/>
      <c r="EB14" s="827"/>
      <c r="EC14" s="827"/>
      <c r="ED14" s="827"/>
      <c r="EE14" s="827"/>
      <c r="EF14" s="827"/>
      <c r="EG14" s="827"/>
      <c r="EH14" s="827"/>
      <c r="EI14" s="827"/>
      <c r="EJ14" s="827"/>
      <c r="EK14" s="827"/>
      <c r="EL14" s="827"/>
      <c r="EM14" s="827"/>
      <c r="EN14" s="827"/>
      <c r="EO14" s="827"/>
      <c r="EP14" s="827"/>
      <c r="EQ14" s="827"/>
      <c r="ER14" s="827"/>
      <c r="ES14" s="827"/>
      <c r="ET14" s="827"/>
      <c r="EU14" s="827"/>
      <c r="EV14" s="827"/>
      <c r="EW14" s="827"/>
      <c r="EX14" s="827"/>
      <c r="EY14" s="827"/>
      <c r="EZ14" s="827"/>
      <c r="FA14" s="827"/>
      <c r="FB14" s="827"/>
      <c r="FC14" s="827"/>
      <c r="FD14" s="827"/>
      <c r="FE14" s="827"/>
      <c r="FF14" s="827"/>
      <c r="FG14" s="827"/>
      <c r="FH14" s="827"/>
      <c r="FI14" s="827"/>
      <c r="FJ14" s="827"/>
      <c r="FK14" s="827"/>
      <c r="FL14" s="827"/>
      <c r="FM14" s="827"/>
      <c r="FN14" s="827"/>
      <c r="FO14" s="827"/>
      <c r="FP14" s="827"/>
      <c r="FQ14" s="827"/>
      <c r="FR14" s="827"/>
      <c r="FS14" s="827"/>
      <c r="FT14" s="827"/>
      <c r="FU14" s="827"/>
      <c r="FV14" s="827"/>
      <c r="FW14" s="827"/>
      <c r="FX14" s="827"/>
      <c r="FY14" s="827">
        <v>0</v>
      </c>
      <c r="FZ14" s="827">
        <v>0</v>
      </c>
      <c r="GA14" s="827">
        <v>0</v>
      </c>
      <c r="GB14" s="827"/>
      <c r="GC14" s="827"/>
      <c r="GD14" s="827"/>
      <c r="GE14" s="827"/>
      <c r="GF14" s="827"/>
      <c r="GG14" s="827"/>
      <c r="GH14" s="827"/>
      <c r="GI14" s="827"/>
      <c r="GJ14" s="827"/>
      <c r="GK14" s="827"/>
      <c r="GL14" s="827"/>
      <c r="GM14" s="827"/>
      <c r="GN14" s="827"/>
      <c r="GO14" s="827"/>
      <c r="GP14" s="827"/>
      <c r="GQ14" s="827"/>
      <c r="GR14" s="827"/>
      <c r="GS14" s="827"/>
      <c r="GT14" s="827"/>
      <c r="GU14" s="827"/>
      <c r="GV14" s="827"/>
      <c r="GW14" s="827"/>
      <c r="GX14" s="827"/>
      <c r="GY14" s="827"/>
      <c r="GZ14" s="827"/>
      <c r="HA14" s="827"/>
      <c r="HB14" s="827"/>
      <c r="HC14" s="827"/>
      <c r="HD14" s="828"/>
      <c r="HE14" s="827"/>
      <c r="HF14" s="827"/>
      <c r="HG14" s="829">
        <v>0</v>
      </c>
    </row>
    <row r="15" spans="1:215" ht="15" customHeight="1" x14ac:dyDescent="0.2">
      <c r="A15" s="463" t="s">
        <v>140</v>
      </c>
      <c r="B15" s="827"/>
      <c r="C15" s="827"/>
      <c r="D15" s="827"/>
      <c r="E15" s="827"/>
      <c r="F15" s="827"/>
      <c r="G15" s="827"/>
      <c r="H15" s="827"/>
      <c r="I15" s="827"/>
      <c r="J15" s="827"/>
      <c r="K15" s="827"/>
      <c r="L15" s="827"/>
      <c r="M15" s="827"/>
      <c r="N15" s="827"/>
      <c r="O15" s="827"/>
      <c r="P15" s="827"/>
      <c r="Q15" s="827"/>
      <c r="R15" s="827"/>
      <c r="S15" s="827"/>
      <c r="T15" s="827"/>
      <c r="U15" s="827"/>
      <c r="V15" s="827"/>
      <c r="W15" s="827"/>
      <c r="X15" s="827"/>
      <c r="Y15" s="827"/>
      <c r="Z15" s="827"/>
      <c r="AA15" s="827"/>
      <c r="AB15" s="827"/>
      <c r="AC15" s="827"/>
      <c r="AD15" s="827"/>
      <c r="AE15" s="827"/>
      <c r="AF15" s="827"/>
      <c r="AG15" s="827"/>
      <c r="AH15" s="827"/>
      <c r="AI15" s="827"/>
      <c r="AJ15" s="827"/>
      <c r="AK15" s="827"/>
      <c r="AL15" s="827"/>
      <c r="AM15" s="827"/>
      <c r="AN15" s="827"/>
      <c r="AO15" s="827"/>
      <c r="AP15" s="827"/>
      <c r="AQ15" s="827"/>
      <c r="AR15" s="827"/>
      <c r="AS15" s="827"/>
      <c r="AT15" s="827"/>
      <c r="AU15" s="827"/>
      <c r="AV15" s="827"/>
      <c r="AW15" s="827"/>
      <c r="AX15" s="827"/>
      <c r="AY15" s="827"/>
      <c r="AZ15" s="827"/>
      <c r="BA15" s="827"/>
      <c r="BB15" s="827"/>
      <c r="BC15" s="827"/>
      <c r="BD15" s="827"/>
      <c r="BE15" s="827"/>
      <c r="BF15" s="827"/>
      <c r="BG15" s="827"/>
      <c r="BH15" s="827"/>
      <c r="BI15" s="827">
        <v>1.8400000000000034</v>
      </c>
      <c r="BJ15" s="827">
        <v>1.8400000000000034</v>
      </c>
      <c r="BK15" s="827">
        <v>1.8400000000000034</v>
      </c>
      <c r="BL15" s="827"/>
      <c r="BM15" s="827"/>
      <c r="BN15" s="827"/>
      <c r="BO15" s="827"/>
      <c r="BP15" s="827"/>
      <c r="BQ15" s="827"/>
      <c r="BR15" s="827"/>
      <c r="BS15" s="827"/>
      <c r="BT15" s="827"/>
      <c r="BU15" s="827"/>
      <c r="BV15" s="827"/>
      <c r="BW15" s="827"/>
      <c r="BX15" s="827"/>
      <c r="BY15" s="827"/>
      <c r="BZ15" s="827"/>
      <c r="CA15" s="827"/>
      <c r="CB15" s="827"/>
      <c r="CC15" s="827"/>
      <c r="CD15" s="827"/>
      <c r="CE15" s="827"/>
      <c r="CF15" s="827"/>
      <c r="CG15" s="827"/>
      <c r="CH15" s="827"/>
      <c r="CI15" s="827"/>
      <c r="CJ15" s="827"/>
      <c r="CK15" s="827"/>
      <c r="CL15" s="827"/>
      <c r="CM15" s="827"/>
      <c r="CN15" s="827"/>
      <c r="CO15" s="827"/>
      <c r="CP15" s="827"/>
      <c r="CQ15" s="827"/>
      <c r="CR15" s="827"/>
      <c r="CS15" s="827"/>
      <c r="CT15" s="827"/>
      <c r="CU15" s="827"/>
      <c r="CV15" s="827"/>
      <c r="CW15" s="827"/>
      <c r="CX15" s="827"/>
      <c r="CY15" s="827"/>
      <c r="CZ15" s="827"/>
      <c r="DA15" s="827"/>
      <c r="DB15" s="827"/>
      <c r="DC15" s="827"/>
      <c r="DD15" s="827"/>
      <c r="DE15" s="827"/>
      <c r="DF15" s="827"/>
      <c r="DG15" s="827"/>
      <c r="DH15" s="827"/>
      <c r="DI15" s="827"/>
      <c r="DJ15" s="827"/>
      <c r="DK15" s="827"/>
      <c r="DL15" s="827"/>
      <c r="DM15" s="827"/>
      <c r="DN15" s="827"/>
      <c r="DO15" s="827"/>
      <c r="DP15" s="827"/>
      <c r="DQ15" s="827"/>
      <c r="DR15" s="827"/>
      <c r="DS15" s="827"/>
      <c r="DT15" s="827"/>
      <c r="DU15" s="827"/>
      <c r="DV15" s="827"/>
      <c r="DW15" s="827"/>
      <c r="DX15" s="827"/>
      <c r="DY15" s="827"/>
      <c r="DZ15" s="827"/>
      <c r="EA15" s="827"/>
      <c r="EB15" s="827"/>
      <c r="EC15" s="827"/>
      <c r="ED15" s="827"/>
      <c r="EE15" s="827"/>
      <c r="EF15" s="827"/>
      <c r="EG15" s="827"/>
      <c r="EH15" s="827"/>
      <c r="EI15" s="827"/>
      <c r="EJ15" s="827"/>
      <c r="EK15" s="827"/>
      <c r="EL15" s="827"/>
      <c r="EM15" s="827"/>
      <c r="EN15" s="827"/>
      <c r="EO15" s="827"/>
      <c r="EP15" s="827"/>
      <c r="EQ15" s="827"/>
      <c r="ER15" s="827"/>
      <c r="ES15" s="827"/>
      <c r="ET15" s="827"/>
      <c r="EU15" s="827"/>
      <c r="EV15" s="827"/>
      <c r="EW15" s="827"/>
      <c r="EX15" s="827"/>
      <c r="EY15" s="827"/>
      <c r="EZ15" s="827"/>
      <c r="FA15" s="827"/>
      <c r="FB15" s="827"/>
      <c r="FC15" s="827"/>
      <c r="FD15" s="827"/>
      <c r="FE15" s="827"/>
      <c r="FF15" s="827"/>
      <c r="FG15" s="827"/>
      <c r="FH15" s="827"/>
      <c r="FI15" s="827"/>
      <c r="FJ15" s="827"/>
      <c r="FK15" s="827"/>
      <c r="FL15" s="827"/>
      <c r="FM15" s="827"/>
      <c r="FN15" s="827"/>
      <c r="FO15" s="827"/>
      <c r="FP15" s="827"/>
      <c r="FQ15" s="827"/>
      <c r="FR15" s="827"/>
      <c r="FS15" s="827"/>
      <c r="FT15" s="827"/>
      <c r="FU15" s="827"/>
      <c r="FV15" s="827"/>
      <c r="FW15" s="827"/>
      <c r="FX15" s="827"/>
      <c r="FY15" s="827"/>
      <c r="FZ15" s="827"/>
      <c r="GA15" s="827"/>
      <c r="GB15" s="827"/>
      <c r="GC15" s="827"/>
      <c r="GD15" s="827"/>
      <c r="GE15" s="827"/>
      <c r="GF15" s="827"/>
      <c r="GG15" s="827"/>
      <c r="GH15" s="827"/>
      <c r="GI15" s="827"/>
      <c r="GJ15" s="827"/>
      <c r="GK15" s="827"/>
      <c r="GL15" s="827"/>
      <c r="GM15" s="827"/>
      <c r="GN15" s="827"/>
      <c r="GO15" s="827"/>
      <c r="GP15" s="827"/>
      <c r="GQ15" s="827"/>
      <c r="GR15" s="827"/>
      <c r="GS15" s="827"/>
      <c r="GT15" s="827"/>
      <c r="GU15" s="827"/>
      <c r="GV15" s="827"/>
      <c r="GW15" s="827"/>
      <c r="GX15" s="827"/>
      <c r="GY15" s="827"/>
      <c r="GZ15" s="827"/>
      <c r="HA15" s="827"/>
      <c r="HB15" s="827"/>
      <c r="HC15" s="827"/>
      <c r="HD15" s="828"/>
      <c r="HE15" s="827"/>
      <c r="HF15" s="827"/>
      <c r="HG15" s="829">
        <v>1.8400000000000034</v>
      </c>
    </row>
    <row r="16" spans="1:215" ht="15" customHeight="1" x14ac:dyDescent="0.2">
      <c r="A16" s="463" t="s">
        <v>143</v>
      </c>
      <c r="B16" s="827"/>
      <c r="C16" s="827"/>
      <c r="D16" s="827"/>
      <c r="E16" s="827"/>
      <c r="F16" s="827"/>
      <c r="G16" s="827"/>
      <c r="H16" s="827"/>
      <c r="I16" s="827"/>
      <c r="J16" s="827"/>
      <c r="K16" s="827"/>
      <c r="L16" s="827"/>
      <c r="M16" s="827"/>
      <c r="N16" s="827"/>
      <c r="O16" s="827"/>
      <c r="P16" s="827"/>
      <c r="Q16" s="827"/>
      <c r="R16" s="827"/>
      <c r="S16" s="827"/>
      <c r="T16" s="827"/>
      <c r="U16" s="827"/>
      <c r="V16" s="827"/>
      <c r="W16" s="827"/>
      <c r="X16" s="827"/>
      <c r="Y16" s="827"/>
      <c r="Z16" s="827"/>
      <c r="AA16" s="827"/>
      <c r="AB16" s="827"/>
      <c r="AC16" s="827"/>
      <c r="AD16" s="827"/>
      <c r="AE16" s="827"/>
      <c r="AF16" s="827"/>
      <c r="AG16" s="827"/>
      <c r="AH16" s="827"/>
      <c r="AI16" s="827"/>
      <c r="AJ16" s="827"/>
      <c r="AK16" s="827"/>
      <c r="AL16" s="827"/>
      <c r="AM16" s="827"/>
      <c r="AN16" s="827"/>
      <c r="AO16" s="827"/>
      <c r="AP16" s="827"/>
      <c r="AQ16" s="827"/>
      <c r="AR16" s="827"/>
      <c r="AS16" s="827"/>
      <c r="AT16" s="827"/>
      <c r="AU16" s="827"/>
      <c r="AV16" s="827"/>
      <c r="AW16" s="827"/>
      <c r="AX16" s="827"/>
      <c r="AY16" s="827"/>
      <c r="AZ16" s="827"/>
      <c r="BA16" s="827"/>
      <c r="BB16" s="827"/>
      <c r="BC16" s="827"/>
      <c r="BD16" s="827"/>
      <c r="BE16" s="827"/>
      <c r="BF16" s="827"/>
      <c r="BG16" s="827"/>
      <c r="BH16" s="827"/>
      <c r="BI16" s="827"/>
      <c r="BJ16" s="827"/>
      <c r="BK16" s="827"/>
      <c r="BL16" s="827">
        <v>1.8440000000000012</v>
      </c>
      <c r="BM16" s="827">
        <v>1.8440000000000012</v>
      </c>
      <c r="BN16" s="827">
        <v>1.8440000000000012</v>
      </c>
      <c r="BO16" s="827"/>
      <c r="BP16" s="827"/>
      <c r="BQ16" s="827"/>
      <c r="BR16" s="827"/>
      <c r="BS16" s="827"/>
      <c r="BT16" s="827"/>
      <c r="BU16" s="827"/>
      <c r="BV16" s="827"/>
      <c r="BW16" s="827"/>
      <c r="BX16" s="827"/>
      <c r="BY16" s="827"/>
      <c r="BZ16" s="827"/>
      <c r="CA16" s="827"/>
      <c r="CB16" s="827"/>
      <c r="CC16" s="827"/>
      <c r="CD16" s="827"/>
      <c r="CE16" s="827"/>
      <c r="CF16" s="827"/>
      <c r="CG16" s="827"/>
      <c r="CH16" s="827"/>
      <c r="CI16" s="827"/>
      <c r="CJ16" s="827"/>
      <c r="CK16" s="827"/>
      <c r="CL16" s="827"/>
      <c r="CM16" s="827"/>
      <c r="CN16" s="827"/>
      <c r="CO16" s="827"/>
      <c r="CP16" s="827"/>
      <c r="CQ16" s="827"/>
      <c r="CR16" s="827"/>
      <c r="CS16" s="827"/>
      <c r="CT16" s="827"/>
      <c r="CU16" s="827"/>
      <c r="CV16" s="827"/>
      <c r="CW16" s="827"/>
      <c r="CX16" s="827"/>
      <c r="CY16" s="827"/>
      <c r="CZ16" s="827"/>
      <c r="DA16" s="827"/>
      <c r="DB16" s="827"/>
      <c r="DC16" s="827"/>
      <c r="DD16" s="827"/>
      <c r="DE16" s="827"/>
      <c r="DF16" s="827"/>
      <c r="DG16" s="827"/>
      <c r="DH16" s="827"/>
      <c r="DI16" s="827"/>
      <c r="DJ16" s="827"/>
      <c r="DK16" s="827"/>
      <c r="DL16" s="827"/>
      <c r="DM16" s="827"/>
      <c r="DN16" s="827"/>
      <c r="DO16" s="827"/>
      <c r="DP16" s="827"/>
      <c r="DQ16" s="827"/>
      <c r="DR16" s="827"/>
      <c r="DS16" s="827"/>
      <c r="DT16" s="827"/>
      <c r="DU16" s="827"/>
      <c r="DV16" s="827"/>
      <c r="DW16" s="827"/>
      <c r="DX16" s="827"/>
      <c r="DY16" s="827"/>
      <c r="DZ16" s="827"/>
      <c r="EA16" s="827"/>
      <c r="EB16" s="827"/>
      <c r="EC16" s="827"/>
      <c r="ED16" s="827"/>
      <c r="EE16" s="827"/>
      <c r="EF16" s="827"/>
      <c r="EG16" s="827"/>
      <c r="EH16" s="827"/>
      <c r="EI16" s="827"/>
      <c r="EJ16" s="827"/>
      <c r="EK16" s="827"/>
      <c r="EL16" s="827"/>
      <c r="EM16" s="827"/>
      <c r="EN16" s="827"/>
      <c r="EO16" s="827"/>
      <c r="EP16" s="827"/>
      <c r="EQ16" s="827"/>
      <c r="ER16" s="827"/>
      <c r="ES16" s="827"/>
      <c r="ET16" s="827"/>
      <c r="EU16" s="827"/>
      <c r="EV16" s="827"/>
      <c r="EW16" s="827"/>
      <c r="EX16" s="827"/>
      <c r="EY16" s="827"/>
      <c r="EZ16" s="827"/>
      <c r="FA16" s="827"/>
      <c r="FB16" s="827"/>
      <c r="FC16" s="827"/>
      <c r="FD16" s="827"/>
      <c r="FE16" s="827"/>
      <c r="FF16" s="827"/>
      <c r="FG16" s="827"/>
      <c r="FH16" s="827"/>
      <c r="FI16" s="827"/>
      <c r="FJ16" s="827"/>
      <c r="FK16" s="827"/>
      <c r="FL16" s="827"/>
      <c r="FM16" s="827"/>
      <c r="FN16" s="827"/>
      <c r="FO16" s="827"/>
      <c r="FP16" s="827"/>
      <c r="FQ16" s="827"/>
      <c r="FR16" s="827"/>
      <c r="FS16" s="827"/>
      <c r="FT16" s="827"/>
      <c r="FU16" s="827"/>
      <c r="FV16" s="827"/>
      <c r="FW16" s="827"/>
      <c r="FX16" s="827"/>
      <c r="FY16" s="827"/>
      <c r="FZ16" s="827"/>
      <c r="GA16" s="827"/>
      <c r="GB16" s="827"/>
      <c r="GC16" s="827"/>
      <c r="GD16" s="827"/>
      <c r="GE16" s="827"/>
      <c r="GF16" s="827"/>
      <c r="GG16" s="827"/>
      <c r="GH16" s="827"/>
      <c r="GI16" s="827"/>
      <c r="GJ16" s="827"/>
      <c r="GK16" s="827"/>
      <c r="GL16" s="827"/>
      <c r="GM16" s="827"/>
      <c r="GN16" s="827"/>
      <c r="GO16" s="827"/>
      <c r="GP16" s="827"/>
      <c r="GQ16" s="827"/>
      <c r="GR16" s="827"/>
      <c r="GS16" s="827"/>
      <c r="GT16" s="827"/>
      <c r="GU16" s="827"/>
      <c r="GV16" s="827"/>
      <c r="GW16" s="827"/>
      <c r="GX16" s="827"/>
      <c r="GY16" s="827"/>
      <c r="GZ16" s="827"/>
      <c r="HA16" s="827"/>
      <c r="HB16" s="827"/>
      <c r="HC16" s="827"/>
      <c r="HD16" s="828"/>
      <c r="HE16" s="827"/>
      <c r="HF16" s="827"/>
      <c r="HG16" s="829">
        <v>1.8440000000000012</v>
      </c>
    </row>
    <row r="17" spans="1:215" ht="15" customHeight="1" x14ac:dyDescent="0.2">
      <c r="A17" s="463" t="s">
        <v>145</v>
      </c>
      <c r="B17" s="827"/>
      <c r="C17" s="827"/>
      <c r="D17" s="827"/>
      <c r="E17" s="827"/>
      <c r="F17" s="827"/>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c r="AE17" s="827"/>
      <c r="AF17" s="827"/>
      <c r="AG17" s="827"/>
      <c r="AH17" s="827"/>
      <c r="AI17" s="827"/>
      <c r="AJ17" s="827"/>
      <c r="AK17" s="827"/>
      <c r="AL17" s="827"/>
      <c r="AM17" s="827"/>
      <c r="AN17" s="827"/>
      <c r="AO17" s="827"/>
      <c r="AP17" s="827"/>
      <c r="AQ17" s="827"/>
      <c r="AR17" s="827"/>
      <c r="AS17" s="827"/>
      <c r="AT17" s="827"/>
      <c r="AU17" s="827"/>
      <c r="AV17" s="827"/>
      <c r="AW17" s="827"/>
      <c r="AX17" s="827"/>
      <c r="AY17" s="827"/>
      <c r="AZ17" s="827"/>
      <c r="BA17" s="827"/>
      <c r="BB17" s="827"/>
      <c r="BC17" s="827"/>
      <c r="BD17" s="827"/>
      <c r="BE17" s="827"/>
      <c r="BF17" s="827"/>
      <c r="BG17" s="827"/>
      <c r="BH17" s="827"/>
      <c r="BI17" s="827"/>
      <c r="BJ17" s="827"/>
      <c r="BK17" s="827"/>
      <c r="BL17" s="827"/>
      <c r="BM17" s="827"/>
      <c r="BN17" s="827"/>
      <c r="BO17" s="827">
        <v>2.1749999999999972</v>
      </c>
      <c r="BP17" s="827">
        <v>2.1749999999999972</v>
      </c>
      <c r="BQ17" s="827">
        <v>2.1749999999999972</v>
      </c>
      <c r="BR17" s="827"/>
      <c r="BS17" s="827"/>
      <c r="BT17" s="827"/>
      <c r="BU17" s="827"/>
      <c r="BV17" s="827"/>
      <c r="BW17" s="827"/>
      <c r="BX17" s="827"/>
      <c r="BY17" s="827"/>
      <c r="BZ17" s="827"/>
      <c r="CA17" s="827"/>
      <c r="CB17" s="827"/>
      <c r="CC17" s="827"/>
      <c r="CD17" s="827"/>
      <c r="CE17" s="827"/>
      <c r="CF17" s="827"/>
      <c r="CG17" s="827"/>
      <c r="CH17" s="827"/>
      <c r="CI17" s="827"/>
      <c r="CJ17" s="827"/>
      <c r="CK17" s="827"/>
      <c r="CL17" s="827"/>
      <c r="CM17" s="827"/>
      <c r="CN17" s="827"/>
      <c r="CO17" s="827"/>
      <c r="CP17" s="827"/>
      <c r="CQ17" s="827"/>
      <c r="CR17" s="827"/>
      <c r="CS17" s="827"/>
      <c r="CT17" s="827"/>
      <c r="CU17" s="827"/>
      <c r="CV17" s="827"/>
      <c r="CW17" s="827"/>
      <c r="CX17" s="827"/>
      <c r="CY17" s="827"/>
      <c r="CZ17" s="827"/>
      <c r="DA17" s="827"/>
      <c r="DB17" s="827"/>
      <c r="DC17" s="827"/>
      <c r="DD17" s="827"/>
      <c r="DE17" s="827"/>
      <c r="DF17" s="827"/>
      <c r="DG17" s="827"/>
      <c r="DH17" s="827"/>
      <c r="DI17" s="827"/>
      <c r="DJ17" s="827"/>
      <c r="DK17" s="827"/>
      <c r="DL17" s="827"/>
      <c r="DM17" s="827"/>
      <c r="DN17" s="827"/>
      <c r="DO17" s="827"/>
      <c r="DP17" s="827"/>
      <c r="DQ17" s="827"/>
      <c r="DR17" s="827"/>
      <c r="DS17" s="827"/>
      <c r="DT17" s="827"/>
      <c r="DU17" s="827"/>
      <c r="DV17" s="827"/>
      <c r="DW17" s="827"/>
      <c r="DX17" s="827"/>
      <c r="DY17" s="827"/>
      <c r="DZ17" s="827"/>
      <c r="EA17" s="827"/>
      <c r="EB17" s="827"/>
      <c r="EC17" s="827"/>
      <c r="ED17" s="827"/>
      <c r="EE17" s="827"/>
      <c r="EF17" s="827"/>
      <c r="EG17" s="827"/>
      <c r="EH17" s="827"/>
      <c r="EI17" s="827"/>
      <c r="EJ17" s="827"/>
      <c r="EK17" s="827"/>
      <c r="EL17" s="827"/>
      <c r="EM17" s="827"/>
      <c r="EN17" s="827"/>
      <c r="EO17" s="827"/>
      <c r="EP17" s="827"/>
      <c r="EQ17" s="827"/>
      <c r="ER17" s="827"/>
      <c r="ES17" s="827"/>
      <c r="ET17" s="827"/>
      <c r="EU17" s="827"/>
      <c r="EV17" s="827"/>
      <c r="EW17" s="827"/>
      <c r="EX17" s="827"/>
      <c r="EY17" s="827"/>
      <c r="EZ17" s="827"/>
      <c r="FA17" s="827"/>
      <c r="FB17" s="827"/>
      <c r="FC17" s="827"/>
      <c r="FD17" s="827"/>
      <c r="FE17" s="827"/>
      <c r="FF17" s="827"/>
      <c r="FG17" s="827"/>
      <c r="FH17" s="827"/>
      <c r="FI17" s="827"/>
      <c r="FJ17" s="827"/>
      <c r="FK17" s="827"/>
      <c r="FL17" s="827"/>
      <c r="FM17" s="827"/>
      <c r="FN17" s="827"/>
      <c r="FO17" s="827"/>
      <c r="FP17" s="827"/>
      <c r="FQ17" s="827"/>
      <c r="FR17" s="827"/>
      <c r="FS17" s="827"/>
      <c r="FT17" s="827"/>
      <c r="FU17" s="827"/>
      <c r="FV17" s="827"/>
      <c r="FW17" s="827"/>
      <c r="FX17" s="827"/>
      <c r="FY17" s="827"/>
      <c r="FZ17" s="827"/>
      <c r="GA17" s="827"/>
      <c r="GB17" s="827"/>
      <c r="GC17" s="827"/>
      <c r="GD17" s="827"/>
      <c r="GE17" s="827"/>
      <c r="GF17" s="827"/>
      <c r="GG17" s="827"/>
      <c r="GH17" s="827"/>
      <c r="GI17" s="827"/>
      <c r="GJ17" s="827"/>
      <c r="GK17" s="827"/>
      <c r="GL17" s="827"/>
      <c r="GM17" s="827"/>
      <c r="GN17" s="827"/>
      <c r="GO17" s="827"/>
      <c r="GP17" s="827"/>
      <c r="GQ17" s="827"/>
      <c r="GR17" s="827"/>
      <c r="GS17" s="827"/>
      <c r="GT17" s="827"/>
      <c r="GU17" s="827"/>
      <c r="GV17" s="827"/>
      <c r="GW17" s="827"/>
      <c r="GX17" s="827"/>
      <c r="GY17" s="827"/>
      <c r="GZ17" s="827"/>
      <c r="HA17" s="827"/>
      <c r="HB17" s="827"/>
      <c r="HC17" s="827"/>
      <c r="HD17" s="828"/>
      <c r="HE17" s="827"/>
      <c r="HF17" s="827"/>
      <c r="HG17" s="829">
        <v>2.1749999999999972</v>
      </c>
    </row>
    <row r="18" spans="1:215" ht="15" customHeight="1" x14ac:dyDescent="0.2">
      <c r="A18" s="463" t="s">
        <v>147</v>
      </c>
      <c r="B18" s="827"/>
      <c r="C18" s="827"/>
      <c r="D18" s="827"/>
      <c r="E18" s="827"/>
      <c r="F18" s="827"/>
      <c r="G18" s="827"/>
      <c r="H18" s="827"/>
      <c r="I18" s="827"/>
      <c r="J18" s="827"/>
      <c r="K18" s="827"/>
      <c r="L18" s="827"/>
      <c r="M18" s="827"/>
      <c r="N18" s="827"/>
      <c r="O18" s="827"/>
      <c r="P18" s="827"/>
      <c r="Q18" s="827"/>
      <c r="R18" s="827"/>
      <c r="S18" s="827"/>
      <c r="T18" s="827"/>
      <c r="U18" s="827"/>
      <c r="V18" s="827"/>
      <c r="W18" s="827"/>
      <c r="X18" s="827"/>
      <c r="Y18" s="827"/>
      <c r="Z18" s="827"/>
      <c r="AA18" s="827"/>
      <c r="AB18" s="827"/>
      <c r="AC18" s="827"/>
      <c r="AD18" s="827"/>
      <c r="AE18" s="827"/>
      <c r="AF18" s="827"/>
      <c r="AG18" s="827"/>
      <c r="AH18" s="827"/>
      <c r="AI18" s="827"/>
      <c r="AJ18" s="827"/>
      <c r="AK18" s="827"/>
      <c r="AL18" s="827"/>
      <c r="AM18" s="827"/>
      <c r="AN18" s="827"/>
      <c r="AO18" s="827"/>
      <c r="AP18" s="827"/>
      <c r="AQ18" s="827"/>
      <c r="AR18" s="827"/>
      <c r="AS18" s="827"/>
      <c r="AT18" s="827">
        <v>1.4260000000000019</v>
      </c>
      <c r="AU18" s="827">
        <v>1.4260000000000019</v>
      </c>
      <c r="AV18" s="827">
        <v>1.4260000000000019</v>
      </c>
      <c r="AW18" s="827"/>
      <c r="AX18" s="827"/>
      <c r="AY18" s="827"/>
      <c r="AZ18" s="827"/>
      <c r="BA18" s="827"/>
      <c r="BB18" s="827"/>
      <c r="BC18" s="827"/>
      <c r="BD18" s="827"/>
      <c r="BE18" s="827"/>
      <c r="BF18" s="827"/>
      <c r="BG18" s="827"/>
      <c r="BH18" s="827"/>
      <c r="BI18" s="827"/>
      <c r="BJ18" s="827"/>
      <c r="BK18" s="827"/>
      <c r="BL18" s="827"/>
      <c r="BM18" s="827"/>
      <c r="BN18" s="827"/>
      <c r="BO18" s="827"/>
      <c r="BP18" s="827"/>
      <c r="BQ18" s="827"/>
      <c r="BR18" s="827"/>
      <c r="BS18" s="827"/>
      <c r="BT18" s="827"/>
      <c r="BU18" s="827"/>
      <c r="BV18" s="827"/>
      <c r="BW18" s="827"/>
      <c r="BX18" s="827"/>
      <c r="BY18" s="827"/>
      <c r="BZ18" s="827"/>
      <c r="CA18" s="827"/>
      <c r="CB18" s="827"/>
      <c r="CC18" s="827"/>
      <c r="CD18" s="827"/>
      <c r="CE18" s="827"/>
      <c r="CF18" s="827"/>
      <c r="CG18" s="827"/>
      <c r="CH18" s="827"/>
      <c r="CI18" s="827"/>
      <c r="CJ18" s="827"/>
      <c r="CK18" s="827"/>
      <c r="CL18" s="827"/>
      <c r="CM18" s="827"/>
      <c r="CN18" s="827"/>
      <c r="CO18" s="827"/>
      <c r="CP18" s="827"/>
      <c r="CQ18" s="827"/>
      <c r="CR18" s="827"/>
      <c r="CS18" s="827"/>
      <c r="CT18" s="827"/>
      <c r="CU18" s="827"/>
      <c r="CV18" s="827"/>
      <c r="CW18" s="827"/>
      <c r="CX18" s="827"/>
      <c r="CY18" s="827"/>
      <c r="CZ18" s="827"/>
      <c r="DA18" s="827"/>
      <c r="DB18" s="827"/>
      <c r="DC18" s="827"/>
      <c r="DD18" s="827"/>
      <c r="DE18" s="827"/>
      <c r="DF18" s="827"/>
      <c r="DG18" s="827"/>
      <c r="DH18" s="827"/>
      <c r="DI18" s="827"/>
      <c r="DJ18" s="827"/>
      <c r="DK18" s="827"/>
      <c r="DL18" s="827"/>
      <c r="DM18" s="827"/>
      <c r="DN18" s="827"/>
      <c r="DO18" s="827"/>
      <c r="DP18" s="827"/>
      <c r="DQ18" s="827"/>
      <c r="DR18" s="827"/>
      <c r="DS18" s="827"/>
      <c r="DT18" s="827"/>
      <c r="DU18" s="827"/>
      <c r="DV18" s="827"/>
      <c r="DW18" s="827"/>
      <c r="DX18" s="827"/>
      <c r="DY18" s="827"/>
      <c r="DZ18" s="827"/>
      <c r="EA18" s="827"/>
      <c r="EB18" s="827"/>
      <c r="EC18" s="827"/>
      <c r="ED18" s="827"/>
      <c r="EE18" s="827"/>
      <c r="EF18" s="827"/>
      <c r="EG18" s="827"/>
      <c r="EH18" s="827"/>
      <c r="EI18" s="827"/>
      <c r="EJ18" s="827"/>
      <c r="EK18" s="827"/>
      <c r="EL18" s="827"/>
      <c r="EM18" s="827"/>
      <c r="EN18" s="827"/>
      <c r="EO18" s="827"/>
      <c r="EP18" s="827"/>
      <c r="EQ18" s="827"/>
      <c r="ER18" s="827"/>
      <c r="ES18" s="827"/>
      <c r="ET18" s="827"/>
      <c r="EU18" s="827"/>
      <c r="EV18" s="827"/>
      <c r="EW18" s="827"/>
      <c r="EX18" s="827"/>
      <c r="EY18" s="827"/>
      <c r="EZ18" s="827"/>
      <c r="FA18" s="827"/>
      <c r="FB18" s="827"/>
      <c r="FC18" s="827"/>
      <c r="FD18" s="827"/>
      <c r="FE18" s="827"/>
      <c r="FF18" s="827"/>
      <c r="FG18" s="827"/>
      <c r="FH18" s="827"/>
      <c r="FI18" s="827"/>
      <c r="FJ18" s="827"/>
      <c r="FK18" s="827"/>
      <c r="FL18" s="827"/>
      <c r="FM18" s="827"/>
      <c r="FN18" s="827"/>
      <c r="FO18" s="827"/>
      <c r="FP18" s="827"/>
      <c r="FQ18" s="827"/>
      <c r="FR18" s="827"/>
      <c r="FS18" s="827"/>
      <c r="FT18" s="827"/>
      <c r="FU18" s="827"/>
      <c r="FV18" s="827"/>
      <c r="FW18" s="827"/>
      <c r="FX18" s="827"/>
      <c r="FY18" s="827"/>
      <c r="FZ18" s="827"/>
      <c r="GA18" s="827"/>
      <c r="GB18" s="827"/>
      <c r="GC18" s="827"/>
      <c r="GD18" s="827"/>
      <c r="GE18" s="827"/>
      <c r="GF18" s="827"/>
      <c r="GG18" s="827"/>
      <c r="GH18" s="827"/>
      <c r="GI18" s="827"/>
      <c r="GJ18" s="827"/>
      <c r="GK18" s="827"/>
      <c r="GL18" s="827"/>
      <c r="GM18" s="827"/>
      <c r="GN18" s="827"/>
      <c r="GO18" s="827"/>
      <c r="GP18" s="827"/>
      <c r="GQ18" s="827"/>
      <c r="GR18" s="827"/>
      <c r="GS18" s="827"/>
      <c r="GT18" s="827"/>
      <c r="GU18" s="827"/>
      <c r="GV18" s="827"/>
      <c r="GW18" s="827"/>
      <c r="GX18" s="827"/>
      <c r="GY18" s="827"/>
      <c r="GZ18" s="827"/>
      <c r="HA18" s="827"/>
      <c r="HB18" s="827"/>
      <c r="HC18" s="827"/>
      <c r="HD18" s="828"/>
      <c r="HE18" s="827"/>
      <c r="HF18" s="827"/>
      <c r="HG18" s="829">
        <v>1.4260000000000019</v>
      </c>
    </row>
    <row r="19" spans="1:215" ht="15" customHeight="1" x14ac:dyDescent="0.2">
      <c r="A19" s="463" t="s">
        <v>149</v>
      </c>
      <c r="B19" s="827"/>
      <c r="C19" s="827"/>
      <c r="D19" s="827"/>
      <c r="E19" s="827"/>
      <c r="F19" s="827"/>
      <c r="G19" s="827"/>
      <c r="H19" s="827"/>
      <c r="I19" s="827"/>
      <c r="J19" s="827"/>
      <c r="K19" s="827"/>
      <c r="L19" s="827"/>
      <c r="M19" s="827"/>
      <c r="N19" s="827"/>
      <c r="O19" s="827"/>
      <c r="P19" s="827"/>
      <c r="Q19" s="827"/>
      <c r="R19" s="827"/>
      <c r="S19" s="827"/>
      <c r="T19" s="827"/>
      <c r="U19" s="827"/>
      <c r="V19" s="827"/>
      <c r="W19" s="827"/>
      <c r="X19" s="827"/>
      <c r="Y19" s="827"/>
      <c r="Z19" s="827"/>
      <c r="AA19" s="827"/>
      <c r="AB19" s="827"/>
      <c r="AC19" s="827"/>
      <c r="AD19" s="827"/>
      <c r="AE19" s="827"/>
      <c r="AF19" s="827"/>
      <c r="AG19" s="827"/>
      <c r="AH19" s="827"/>
      <c r="AI19" s="827"/>
      <c r="AJ19" s="827"/>
      <c r="AK19" s="827"/>
      <c r="AL19" s="827"/>
      <c r="AM19" s="827"/>
      <c r="AN19" s="827"/>
      <c r="AO19" s="827"/>
      <c r="AP19" s="827"/>
      <c r="AQ19" s="827"/>
      <c r="AR19" s="827"/>
      <c r="AS19" s="827"/>
      <c r="AT19" s="827"/>
      <c r="AU19" s="827"/>
      <c r="AV19" s="827"/>
      <c r="AW19" s="827">
        <v>1.4269999999999978</v>
      </c>
      <c r="AX19" s="827">
        <v>1.4269999999999978</v>
      </c>
      <c r="AY19" s="827">
        <v>1.4269999999999978</v>
      </c>
      <c r="AZ19" s="827"/>
      <c r="BA19" s="827"/>
      <c r="BB19" s="827"/>
      <c r="BC19" s="827"/>
      <c r="BD19" s="827"/>
      <c r="BE19" s="827"/>
      <c r="BF19" s="827"/>
      <c r="BG19" s="827"/>
      <c r="BH19" s="827"/>
      <c r="BI19" s="827"/>
      <c r="BJ19" s="827"/>
      <c r="BK19" s="827"/>
      <c r="BL19" s="827"/>
      <c r="BM19" s="827"/>
      <c r="BN19" s="827"/>
      <c r="BO19" s="827"/>
      <c r="BP19" s="827"/>
      <c r="BQ19" s="827"/>
      <c r="BR19" s="827"/>
      <c r="BS19" s="827"/>
      <c r="BT19" s="827"/>
      <c r="BU19" s="827"/>
      <c r="BV19" s="827"/>
      <c r="BW19" s="827"/>
      <c r="BX19" s="827"/>
      <c r="BY19" s="827"/>
      <c r="BZ19" s="827"/>
      <c r="CA19" s="827"/>
      <c r="CB19" s="827"/>
      <c r="CC19" s="827"/>
      <c r="CD19" s="827"/>
      <c r="CE19" s="827"/>
      <c r="CF19" s="827"/>
      <c r="CG19" s="827"/>
      <c r="CH19" s="827"/>
      <c r="CI19" s="827"/>
      <c r="CJ19" s="827"/>
      <c r="CK19" s="827"/>
      <c r="CL19" s="827"/>
      <c r="CM19" s="827"/>
      <c r="CN19" s="827"/>
      <c r="CO19" s="827"/>
      <c r="CP19" s="827"/>
      <c r="CQ19" s="827"/>
      <c r="CR19" s="827"/>
      <c r="CS19" s="827"/>
      <c r="CT19" s="827"/>
      <c r="CU19" s="827"/>
      <c r="CV19" s="827"/>
      <c r="CW19" s="827"/>
      <c r="CX19" s="827"/>
      <c r="CY19" s="827"/>
      <c r="CZ19" s="827"/>
      <c r="DA19" s="827"/>
      <c r="DB19" s="827"/>
      <c r="DC19" s="827"/>
      <c r="DD19" s="827"/>
      <c r="DE19" s="827"/>
      <c r="DF19" s="827"/>
      <c r="DG19" s="827"/>
      <c r="DH19" s="827"/>
      <c r="DI19" s="827"/>
      <c r="DJ19" s="827"/>
      <c r="DK19" s="827"/>
      <c r="DL19" s="827"/>
      <c r="DM19" s="827"/>
      <c r="DN19" s="827"/>
      <c r="DO19" s="827"/>
      <c r="DP19" s="827"/>
      <c r="DQ19" s="827"/>
      <c r="DR19" s="827"/>
      <c r="DS19" s="827"/>
      <c r="DT19" s="827"/>
      <c r="DU19" s="827"/>
      <c r="DV19" s="827"/>
      <c r="DW19" s="827"/>
      <c r="DX19" s="827"/>
      <c r="DY19" s="827"/>
      <c r="DZ19" s="827"/>
      <c r="EA19" s="827"/>
      <c r="EB19" s="827"/>
      <c r="EC19" s="827"/>
      <c r="ED19" s="827"/>
      <c r="EE19" s="827"/>
      <c r="EF19" s="827"/>
      <c r="EG19" s="827"/>
      <c r="EH19" s="827"/>
      <c r="EI19" s="827"/>
      <c r="EJ19" s="827"/>
      <c r="EK19" s="827"/>
      <c r="EL19" s="827"/>
      <c r="EM19" s="827"/>
      <c r="EN19" s="827"/>
      <c r="EO19" s="827"/>
      <c r="EP19" s="827"/>
      <c r="EQ19" s="827"/>
      <c r="ER19" s="827"/>
      <c r="ES19" s="827"/>
      <c r="ET19" s="827"/>
      <c r="EU19" s="827"/>
      <c r="EV19" s="827"/>
      <c r="EW19" s="827"/>
      <c r="EX19" s="827"/>
      <c r="EY19" s="827"/>
      <c r="EZ19" s="827"/>
      <c r="FA19" s="827"/>
      <c r="FB19" s="827"/>
      <c r="FC19" s="827"/>
      <c r="FD19" s="827"/>
      <c r="FE19" s="827"/>
      <c r="FF19" s="827"/>
      <c r="FG19" s="827"/>
      <c r="FH19" s="827"/>
      <c r="FI19" s="827"/>
      <c r="FJ19" s="827"/>
      <c r="FK19" s="827"/>
      <c r="FL19" s="827"/>
      <c r="FM19" s="827"/>
      <c r="FN19" s="827"/>
      <c r="FO19" s="827"/>
      <c r="FP19" s="827"/>
      <c r="FQ19" s="827"/>
      <c r="FR19" s="827"/>
      <c r="FS19" s="827"/>
      <c r="FT19" s="827"/>
      <c r="FU19" s="827"/>
      <c r="FV19" s="827"/>
      <c r="FW19" s="827"/>
      <c r="FX19" s="827"/>
      <c r="FY19" s="827"/>
      <c r="FZ19" s="827"/>
      <c r="GA19" s="827"/>
      <c r="GB19" s="827"/>
      <c r="GC19" s="827"/>
      <c r="GD19" s="827"/>
      <c r="GE19" s="827"/>
      <c r="GF19" s="827"/>
      <c r="GG19" s="827"/>
      <c r="GH19" s="827"/>
      <c r="GI19" s="827"/>
      <c r="GJ19" s="827"/>
      <c r="GK19" s="827"/>
      <c r="GL19" s="827"/>
      <c r="GM19" s="827"/>
      <c r="GN19" s="827"/>
      <c r="GO19" s="827"/>
      <c r="GP19" s="827"/>
      <c r="GQ19" s="827"/>
      <c r="GR19" s="827"/>
      <c r="GS19" s="827"/>
      <c r="GT19" s="827"/>
      <c r="GU19" s="827"/>
      <c r="GV19" s="827"/>
      <c r="GW19" s="827"/>
      <c r="GX19" s="827"/>
      <c r="GY19" s="827"/>
      <c r="GZ19" s="827"/>
      <c r="HA19" s="827"/>
      <c r="HB19" s="827"/>
      <c r="HC19" s="827"/>
      <c r="HD19" s="828"/>
      <c r="HE19" s="827"/>
      <c r="HF19" s="827"/>
      <c r="HG19" s="829">
        <v>1.4269999999999978</v>
      </c>
    </row>
    <row r="20" spans="1:215" ht="15" customHeight="1" x14ac:dyDescent="0.2">
      <c r="A20" s="463" t="s">
        <v>77</v>
      </c>
      <c r="B20" s="827"/>
      <c r="C20" s="827"/>
      <c r="D20" s="827"/>
      <c r="E20" s="827"/>
      <c r="F20" s="827"/>
      <c r="G20" s="827"/>
      <c r="H20" s="827"/>
      <c r="I20" s="827"/>
      <c r="J20" s="827"/>
      <c r="K20" s="827"/>
      <c r="L20" s="827"/>
      <c r="M20" s="827"/>
      <c r="N20" s="827"/>
      <c r="O20" s="827"/>
      <c r="P20" s="827"/>
      <c r="Q20" s="827"/>
      <c r="R20" s="827"/>
      <c r="S20" s="827"/>
      <c r="T20" s="827"/>
      <c r="U20" s="827"/>
      <c r="V20" s="827"/>
      <c r="W20" s="827"/>
      <c r="X20" s="827"/>
      <c r="Y20" s="827"/>
      <c r="Z20" s="827"/>
      <c r="AA20" s="827"/>
      <c r="AB20" s="827"/>
      <c r="AC20" s="827"/>
      <c r="AD20" s="827"/>
      <c r="AE20" s="827"/>
      <c r="AF20" s="827"/>
      <c r="AG20" s="827"/>
      <c r="AH20" s="827"/>
      <c r="AI20" s="827"/>
      <c r="AJ20" s="827"/>
      <c r="AK20" s="827"/>
      <c r="AL20" s="827"/>
      <c r="AM20" s="827"/>
      <c r="AN20" s="827"/>
      <c r="AO20" s="827"/>
      <c r="AP20" s="827"/>
      <c r="AQ20" s="827"/>
      <c r="AR20" s="827"/>
      <c r="AS20" s="827"/>
      <c r="AT20" s="827"/>
      <c r="AU20" s="827"/>
      <c r="AV20" s="827"/>
      <c r="AW20" s="827"/>
      <c r="AX20" s="827"/>
      <c r="AY20" s="827"/>
      <c r="AZ20" s="827"/>
      <c r="BA20" s="827"/>
      <c r="BB20" s="827"/>
      <c r="BC20" s="827">
        <v>1.5</v>
      </c>
      <c r="BD20" s="827">
        <v>1.5</v>
      </c>
      <c r="BE20" s="827">
        <v>1.5</v>
      </c>
      <c r="BF20" s="827"/>
      <c r="BG20" s="827"/>
      <c r="BH20" s="827"/>
      <c r="BI20" s="827"/>
      <c r="BJ20" s="827"/>
      <c r="BK20" s="827"/>
      <c r="BL20" s="827"/>
      <c r="BM20" s="827"/>
      <c r="BN20" s="827"/>
      <c r="BO20" s="827"/>
      <c r="BP20" s="827"/>
      <c r="BQ20" s="827"/>
      <c r="BR20" s="827"/>
      <c r="BS20" s="827"/>
      <c r="BT20" s="827"/>
      <c r="BU20" s="827"/>
      <c r="BV20" s="827"/>
      <c r="BW20" s="827"/>
      <c r="BX20" s="827"/>
      <c r="BY20" s="827"/>
      <c r="BZ20" s="827"/>
      <c r="CA20" s="827"/>
      <c r="CB20" s="827"/>
      <c r="CC20" s="827"/>
      <c r="CD20" s="827"/>
      <c r="CE20" s="827"/>
      <c r="CF20" s="827"/>
      <c r="CG20" s="827"/>
      <c r="CH20" s="827"/>
      <c r="CI20" s="827"/>
      <c r="CJ20" s="827"/>
      <c r="CK20" s="827"/>
      <c r="CL20" s="827"/>
      <c r="CM20" s="827"/>
      <c r="CN20" s="827"/>
      <c r="CO20" s="827"/>
      <c r="CP20" s="827"/>
      <c r="CQ20" s="827"/>
      <c r="CR20" s="827"/>
      <c r="CS20" s="827"/>
      <c r="CT20" s="827"/>
      <c r="CU20" s="827"/>
      <c r="CV20" s="827"/>
      <c r="CW20" s="827"/>
      <c r="CX20" s="827"/>
      <c r="CY20" s="827"/>
      <c r="CZ20" s="827"/>
      <c r="DA20" s="827"/>
      <c r="DB20" s="827"/>
      <c r="DC20" s="827"/>
      <c r="DD20" s="827"/>
      <c r="DE20" s="827"/>
      <c r="DF20" s="827"/>
      <c r="DG20" s="827"/>
      <c r="DH20" s="827"/>
      <c r="DI20" s="827"/>
      <c r="DJ20" s="827"/>
      <c r="DK20" s="827"/>
      <c r="DL20" s="827"/>
      <c r="DM20" s="827"/>
      <c r="DN20" s="827"/>
      <c r="DO20" s="827"/>
      <c r="DP20" s="827"/>
      <c r="DQ20" s="827"/>
      <c r="DR20" s="827"/>
      <c r="DS20" s="827"/>
      <c r="DT20" s="827"/>
      <c r="DU20" s="827"/>
      <c r="DV20" s="827"/>
      <c r="DW20" s="827"/>
      <c r="DX20" s="827"/>
      <c r="DY20" s="827"/>
      <c r="DZ20" s="827"/>
      <c r="EA20" s="827"/>
      <c r="EB20" s="827"/>
      <c r="EC20" s="827"/>
      <c r="ED20" s="827"/>
      <c r="EE20" s="827"/>
      <c r="EF20" s="827"/>
      <c r="EG20" s="827"/>
      <c r="EH20" s="827"/>
      <c r="EI20" s="827"/>
      <c r="EJ20" s="827"/>
      <c r="EK20" s="827"/>
      <c r="EL20" s="827"/>
      <c r="EM20" s="827"/>
      <c r="EN20" s="827"/>
      <c r="EO20" s="827"/>
      <c r="EP20" s="827"/>
      <c r="EQ20" s="827"/>
      <c r="ER20" s="827"/>
      <c r="ES20" s="827"/>
      <c r="ET20" s="827"/>
      <c r="EU20" s="827"/>
      <c r="EV20" s="827"/>
      <c r="EW20" s="827"/>
      <c r="EX20" s="827"/>
      <c r="EY20" s="827"/>
      <c r="EZ20" s="827"/>
      <c r="FA20" s="827"/>
      <c r="FB20" s="827"/>
      <c r="FC20" s="827"/>
      <c r="FD20" s="827"/>
      <c r="FE20" s="827"/>
      <c r="FF20" s="827"/>
      <c r="FG20" s="827"/>
      <c r="FH20" s="827"/>
      <c r="FI20" s="827"/>
      <c r="FJ20" s="827"/>
      <c r="FK20" s="827"/>
      <c r="FL20" s="827"/>
      <c r="FM20" s="827"/>
      <c r="FN20" s="827"/>
      <c r="FO20" s="827"/>
      <c r="FP20" s="827"/>
      <c r="FQ20" s="827"/>
      <c r="FR20" s="827"/>
      <c r="FS20" s="827"/>
      <c r="FT20" s="827"/>
      <c r="FU20" s="827"/>
      <c r="FV20" s="827"/>
      <c r="FW20" s="827"/>
      <c r="FX20" s="827"/>
      <c r="FY20" s="827"/>
      <c r="FZ20" s="827"/>
      <c r="GA20" s="827"/>
      <c r="GB20" s="827"/>
      <c r="GC20" s="827"/>
      <c r="GD20" s="827"/>
      <c r="GE20" s="827"/>
      <c r="GF20" s="827"/>
      <c r="GG20" s="827"/>
      <c r="GH20" s="827"/>
      <c r="GI20" s="827"/>
      <c r="GJ20" s="827"/>
      <c r="GK20" s="827"/>
      <c r="GL20" s="827"/>
      <c r="GM20" s="827"/>
      <c r="GN20" s="827"/>
      <c r="GO20" s="827"/>
      <c r="GP20" s="827"/>
      <c r="GQ20" s="827"/>
      <c r="GR20" s="827"/>
      <c r="GS20" s="827"/>
      <c r="GT20" s="827"/>
      <c r="GU20" s="827"/>
      <c r="GV20" s="827"/>
      <c r="GW20" s="827"/>
      <c r="GX20" s="827"/>
      <c r="GY20" s="827"/>
      <c r="GZ20" s="827"/>
      <c r="HA20" s="827"/>
      <c r="HB20" s="827"/>
      <c r="HC20" s="827"/>
      <c r="HD20" s="828"/>
      <c r="HE20" s="827"/>
      <c r="HF20" s="827"/>
      <c r="HG20" s="829">
        <v>1.5</v>
      </c>
    </row>
    <row r="21" spans="1:215" ht="15" customHeight="1" x14ac:dyDescent="0.2">
      <c r="A21" s="463" t="s">
        <v>86</v>
      </c>
      <c r="B21" s="827"/>
      <c r="C21" s="827"/>
      <c r="D21" s="827"/>
      <c r="E21" s="827">
        <v>3.5000000000000003E-2</v>
      </c>
      <c r="F21" s="827">
        <v>3.5000000000000003E-2</v>
      </c>
      <c r="G21" s="827">
        <v>3.5000000000000003E-2</v>
      </c>
      <c r="H21" s="827"/>
      <c r="I21" s="827"/>
      <c r="J21" s="827"/>
      <c r="K21" s="827"/>
      <c r="L21" s="827"/>
      <c r="M21" s="827"/>
      <c r="N21" s="827"/>
      <c r="O21" s="827"/>
      <c r="P21" s="827"/>
      <c r="Q21" s="827"/>
      <c r="R21" s="827"/>
      <c r="S21" s="827"/>
      <c r="T21" s="827"/>
      <c r="U21" s="827"/>
      <c r="V21" s="827"/>
      <c r="W21" s="827"/>
      <c r="X21" s="827"/>
      <c r="Y21" s="827"/>
      <c r="Z21" s="827"/>
      <c r="AA21" s="827"/>
      <c r="AB21" s="827"/>
      <c r="AC21" s="827"/>
      <c r="AD21" s="827"/>
      <c r="AE21" s="827"/>
      <c r="AF21" s="827"/>
      <c r="AG21" s="827"/>
      <c r="AH21" s="827"/>
      <c r="AI21" s="827"/>
      <c r="AJ21" s="827"/>
      <c r="AK21" s="827"/>
      <c r="AL21" s="827"/>
      <c r="AM21" s="827"/>
      <c r="AN21" s="827"/>
      <c r="AO21" s="827"/>
      <c r="AP21" s="827"/>
      <c r="AQ21" s="827"/>
      <c r="AR21" s="827"/>
      <c r="AS21" s="827"/>
      <c r="AT21" s="827"/>
      <c r="AU21" s="827"/>
      <c r="AV21" s="827"/>
      <c r="AW21" s="827"/>
      <c r="AX21" s="827"/>
      <c r="AY21" s="827"/>
      <c r="AZ21" s="827"/>
      <c r="BA21" s="827"/>
      <c r="BB21" s="827"/>
      <c r="BC21" s="827"/>
      <c r="BD21" s="827"/>
      <c r="BE21" s="827"/>
      <c r="BF21" s="827"/>
      <c r="BG21" s="827"/>
      <c r="BH21" s="827"/>
      <c r="BI21" s="827"/>
      <c r="BJ21" s="827"/>
      <c r="BK21" s="827"/>
      <c r="BL21" s="827"/>
      <c r="BM21" s="827"/>
      <c r="BN21" s="827"/>
      <c r="BO21" s="827"/>
      <c r="BP21" s="827"/>
      <c r="BQ21" s="827"/>
      <c r="BR21" s="827"/>
      <c r="BS21" s="827"/>
      <c r="BT21" s="827"/>
      <c r="BU21" s="827"/>
      <c r="BV21" s="827"/>
      <c r="BW21" s="827"/>
      <c r="BX21" s="827"/>
      <c r="BY21" s="827"/>
      <c r="BZ21" s="827"/>
      <c r="CA21" s="827"/>
      <c r="CB21" s="827"/>
      <c r="CC21" s="827"/>
      <c r="CD21" s="827"/>
      <c r="CE21" s="827"/>
      <c r="CF21" s="827"/>
      <c r="CG21" s="827"/>
      <c r="CH21" s="827"/>
      <c r="CI21" s="827"/>
      <c r="CJ21" s="827"/>
      <c r="CK21" s="827"/>
      <c r="CL21" s="827"/>
      <c r="CM21" s="827"/>
      <c r="CN21" s="827"/>
      <c r="CO21" s="827"/>
      <c r="CP21" s="827"/>
      <c r="CQ21" s="827"/>
      <c r="CR21" s="827"/>
      <c r="CS21" s="827"/>
      <c r="CT21" s="827"/>
      <c r="CU21" s="827"/>
      <c r="CV21" s="827"/>
      <c r="CW21" s="827"/>
      <c r="CX21" s="827"/>
      <c r="CY21" s="827"/>
      <c r="CZ21" s="827"/>
      <c r="DA21" s="827"/>
      <c r="DB21" s="827"/>
      <c r="DC21" s="827"/>
      <c r="DD21" s="827"/>
      <c r="DE21" s="827"/>
      <c r="DF21" s="827"/>
      <c r="DG21" s="827"/>
      <c r="DH21" s="827"/>
      <c r="DI21" s="827"/>
      <c r="DJ21" s="827"/>
      <c r="DK21" s="827"/>
      <c r="DL21" s="827"/>
      <c r="DM21" s="827"/>
      <c r="DN21" s="827"/>
      <c r="DO21" s="827"/>
      <c r="DP21" s="827"/>
      <c r="DQ21" s="827"/>
      <c r="DR21" s="827"/>
      <c r="DS21" s="827"/>
      <c r="DT21" s="827"/>
      <c r="DU21" s="827"/>
      <c r="DV21" s="827"/>
      <c r="DW21" s="827"/>
      <c r="DX21" s="827"/>
      <c r="DY21" s="827"/>
      <c r="DZ21" s="827"/>
      <c r="EA21" s="827"/>
      <c r="EB21" s="827"/>
      <c r="EC21" s="827"/>
      <c r="ED21" s="827"/>
      <c r="EE21" s="827"/>
      <c r="EF21" s="827"/>
      <c r="EG21" s="827"/>
      <c r="EH21" s="827"/>
      <c r="EI21" s="827"/>
      <c r="EJ21" s="827"/>
      <c r="EK21" s="827"/>
      <c r="EL21" s="827"/>
      <c r="EM21" s="827"/>
      <c r="EN21" s="827"/>
      <c r="EO21" s="827"/>
      <c r="EP21" s="827"/>
      <c r="EQ21" s="827"/>
      <c r="ER21" s="827"/>
      <c r="ES21" s="827"/>
      <c r="ET21" s="827"/>
      <c r="EU21" s="827"/>
      <c r="EV21" s="827"/>
      <c r="EW21" s="827"/>
      <c r="EX21" s="827"/>
      <c r="EY21" s="827"/>
      <c r="EZ21" s="827"/>
      <c r="FA21" s="827"/>
      <c r="FB21" s="827"/>
      <c r="FC21" s="827"/>
      <c r="FD21" s="827"/>
      <c r="FE21" s="827"/>
      <c r="FF21" s="827"/>
      <c r="FG21" s="827"/>
      <c r="FH21" s="827"/>
      <c r="FI21" s="827"/>
      <c r="FJ21" s="827"/>
      <c r="FK21" s="827"/>
      <c r="FL21" s="827"/>
      <c r="FM21" s="827"/>
      <c r="FN21" s="827"/>
      <c r="FO21" s="827"/>
      <c r="FP21" s="827"/>
      <c r="FQ21" s="827"/>
      <c r="FR21" s="827"/>
      <c r="FS21" s="827"/>
      <c r="FT21" s="827"/>
      <c r="FU21" s="827"/>
      <c r="FV21" s="827"/>
      <c r="FW21" s="827"/>
      <c r="FX21" s="827"/>
      <c r="FY21" s="827"/>
      <c r="FZ21" s="827"/>
      <c r="GA21" s="827"/>
      <c r="GB21" s="827"/>
      <c r="GC21" s="827"/>
      <c r="GD21" s="827"/>
      <c r="GE21" s="827"/>
      <c r="GF21" s="827"/>
      <c r="GG21" s="827"/>
      <c r="GH21" s="827"/>
      <c r="GI21" s="827"/>
      <c r="GJ21" s="827"/>
      <c r="GK21" s="827"/>
      <c r="GL21" s="827"/>
      <c r="GM21" s="827"/>
      <c r="GN21" s="827"/>
      <c r="GO21" s="827"/>
      <c r="GP21" s="827"/>
      <c r="GQ21" s="827"/>
      <c r="GR21" s="827"/>
      <c r="GS21" s="827"/>
      <c r="GT21" s="827"/>
      <c r="GU21" s="827"/>
      <c r="GV21" s="827"/>
      <c r="GW21" s="827"/>
      <c r="GX21" s="827"/>
      <c r="GY21" s="827"/>
      <c r="GZ21" s="827"/>
      <c r="HA21" s="827"/>
      <c r="HB21" s="827"/>
      <c r="HC21" s="827"/>
      <c r="HD21" s="828"/>
      <c r="HE21" s="827"/>
      <c r="HF21" s="827"/>
      <c r="HG21" s="829">
        <v>3.5000000000000003E-2</v>
      </c>
    </row>
    <row r="22" spans="1:215" ht="15" customHeight="1" x14ac:dyDescent="0.2">
      <c r="A22" s="463" t="s">
        <v>89</v>
      </c>
      <c r="B22" s="827"/>
      <c r="C22" s="827"/>
      <c r="D22" s="827"/>
      <c r="E22" s="827"/>
      <c r="F22" s="827"/>
      <c r="G22" s="827"/>
      <c r="H22" s="827"/>
      <c r="I22" s="827"/>
      <c r="J22" s="827"/>
      <c r="K22" s="827"/>
      <c r="L22" s="827"/>
      <c r="M22" s="827"/>
      <c r="N22" s="827"/>
      <c r="O22" s="827"/>
      <c r="P22" s="827"/>
      <c r="Q22" s="827"/>
      <c r="R22" s="827"/>
      <c r="S22" s="827"/>
      <c r="T22" s="827"/>
      <c r="U22" s="827"/>
      <c r="V22" s="827"/>
      <c r="W22" s="827"/>
      <c r="X22" s="827"/>
      <c r="Y22" s="827"/>
      <c r="Z22" s="827">
        <v>0.5</v>
      </c>
      <c r="AA22" s="827">
        <v>0.5</v>
      </c>
      <c r="AB22" s="827">
        <v>0.5</v>
      </c>
      <c r="AC22" s="827"/>
      <c r="AD22" s="827"/>
      <c r="AE22" s="827"/>
      <c r="AF22" s="827"/>
      <c r="AG22" s="827"/>
      <c r="AH22" s="827"/>
      <c r="AI22" s="827"/>
      <c r="AJ22" s="827"/>
      <c r="AK22" s="827"/>
      <c r="AL22" s="827"/>
      <c r="AM22" s="827"/>
      <c r="AN22" s="827"/>
      <c r="AO22" s="827"/>
      <c r="AP22" s="827"/>
      <c r="AQ22" s="827"/>
      <c r="AR22" s="827"/>
      <c r="AS22" s="827"/>
      <c r="AT22" s="827"/>
      <c r="AU22" s="827"/>
      <c r="AV22" s="827"/>
      <c r="AW22" s="827"/>
      <c r="AX22" s="827"/>
      <c r="AY22" s="827"/>
      <c r="AZ22" s="827"/>
      <c r="BA22" s="827"/>
      <c r="BB22" s="827"/>
      <c r="BC22" s="827"/>
      <c r="BD22" s="827"/>
      <c r="BE22" s="827"/>
      <c r="BF22" s="827"/>
      <c r="BG22" s="827"/>
      <c r="BH22" s="827"/>
      <c r="BI22" s="827"/>
      <c r="BJ22" s="827"/>
      <c r="BK22" s="827"/>
      <c r="BL22" s="827"/>
      <c r="BM22" s="827"/>
      <c r="BN22" s="827"/>
      <c r="BO22" s="827"/>
      <c r="BP22" s="827"/>
      <c r="BQ22" s="827"/>
      <c r="BR22" s="827"/>
      <c r="BS22" s="827"/>
      <c r="BT22" s="827"/>
      <c r="BU22" s="827"/>
      <c r="BV22" s="827"/>
      <c r="BW22" s="827"/>
      <c r="BX22" s="827"/>
      <c r="BY22" s="827"/>
      <c r="BZ22" s="827"/>
      <c r="CA22" s="827"/>
      <c r="CB22" s="827"/>
      <c r="CC22" s="827"/>
      <c r="CD22" s="827"/>
      <c r="CE22" s="827"/>
      <c r="CF22" s="827"/>
      <c r="CG22" s="827"/>
      <c r="CH22" s="827"/>
      <c r="CI22" s="827"/>
      <c r="CJ22" s="827"/>
      <c r="CK22" s="827"/>
      <c r="CL22" s="827"/>
      <c r="CM22" s="827"/>
      <c r="CN22" s="827"/>
      <c r="CO22" s="827"/>
      <c r="CP22" s="827"/>
      <c r="CQ22" s="827"/>
      <c r="CR22" s="827"/>
      <c r="CS22" s="827"/>
      <c r="CT22" s="827"/>
      <c r="CU22" s="827"/>
      <c r="CV22" s="827"/>
      <c r="CW22" s="827"/>
      <c r="CX22" s="827"/>
      <c r="CY22" s="827"/>
      <c r="CZ22" s="827"/>
      <c r="DA22" s="827"/>
      <c r="DB22" s="827"/>
      <c r="DC22" s="827"/>
      <c r="DD22" s="827"/>
      <c r="DE22" s="827"/>
      <c r="DF22" s="827"/>
      <c r="DG22" s="827"/>
      <c r="DH22" s="827"/>
      <c r="DI22" s="827"/>
      <c r="DJ22" s="827"/>
      <c r="DK22" s="827"/>
      <c r="DL22" s="827"/>
      <c r="DM22" s="827"/>
      <c r="DN22" s="827"/>
      <c r="DO22" s="827"/>
      <c r="DP22" s="827"/>
      <c r="DQ22" s="827"/>
      <c r="DR22" s="827"/>
      <c r="DS22" s="827"/>
      <c r="DT22" s="827"/>
      <c r="DU22" s="827"/>
      <c r="DV22" s="827"/>
      <c r="DW22" s="827"/>
      <c r="DX22" s="827"/>
      <c r="DY22" s="827"/>
      <c r="DZ22" s="827"/>
      <c r="EA22" s="827"/>
      <c r="EB22" s="827"/>
      <c r="EC22" s="827"/>
      <c r="ED22" s="827"/>
      <c r="EE22" s="827"/>
      <c r="EF22" s="827"/>
      <c r="EG22" s="827"/>
      <c r="EH22" s="827"/>
      <c r="EI22" s="827"/>
      <c r="EJ22" s="827"/>
      <c r="EK22" s="827"/>
      <c r="EL22" s="827"/>
      <c r="EM22" s="827"/>
      <c r="EN22" s="827"/>
      <c r="EO22" s="827"/>
      <c r="EP22" s="827"/>
      <c r="EQ22" s="827"/>
      <c r="ER22" s="827"/>
      <c r="ES22" s="827"/>
      <c r="ET22" s="827"/>
      <c r="EU22" s="827"/>
      <c r="EV22" s="827"/>
      <c r="EW22" s="827"/>
      <c r="EX22" s="827"/>
      <c r="EY22" s="827"/>
      <c r="EZ22" s="827"/>
      <c r="FA22" s="827"/>
      <c r="FB22" s="827"/>
      <c r="FC22" s="827"/>
      <c r="FD22" s="827"/>
      <c r="FE22" s="827"/>
      <c r="FF22" s="827"/>
      <c r="FG22" s="827"/>
      <c r="FH22" s="827"/>
      <c r="FI22" s="827"/>
      <c r="FJ22" s="827"/>
      <c r="FK22" s="827"/>
      <c r="FL22" s="827"/>
      <c r="FM22" s="827"/>
      <c r="FN22" s="827"/>
      <c r="FO22" s="827"/>
      <c r="FP22" s="827"/>
      <c r="FQ22" s="827"/>
      <c r="FR22" s="827"/>
      <c r="FS22" s="827"/>
      <c r="FT22" s="827"/>
      <c r="FU22" s="827"/>
      <c r="FV22" s="827"/>
      <c r="FW22" s="827"/>
      <c r="FX22" s="827"/>
      <c r="FY22" s="827"/>
      <c r="FZ22" s="827"/>
      <c r="GA22" s="827"/>
      <c r="GB22" s="827"/>
      <c r="GC22" s="827"/>
      <c r="GD22" s="827"/>
      <c r="GE22" s="827"/>
      <c r="GF22" s="827"/>
      <c r="GG22" s="827"/>
      <c r="GH22" s="827"/>
      <c r="GI22" s="827"/>
      <c r="GJ22" s="827"/>
      <c r="GK22" s="827"/>
      <c r="GL22" s="827"/>
      <c r="GM22" s="827"/>
      <c r="GN22" s="827"/>
      <c r="GO22" s="827"/>
      <c r="GP22" s="827"/>
      <c r="GQ22" s="827"/>
      <c r="GR22" s="827"/>
      <c r="GS22" s="827"/>
      <c r="GT22" s="827"/>
      <c r="GU22" s="827"/>
      <c r="GV22" s="827"/>
      <c r="GW22" s="827"/>
      <c r="GX22" s="827"/>
      <c r="GY22" s="827"/>
      <c r="GZ22" s="827"/>
      <c r="HA22" s="827"/>
      <c r="HB22" s="827"/>
      <c r="HC22" s="827"/>
      <c r="HD22" s="828"/>
      <c r="HE22" s="827"/>
      <c r="HF22" s="827"/>
      <c r="HG22" s="829">
        <v>0.5</v>
      </c>
    </row>
    <row r="23" spans="1:215" ht="15" customHeight="1" x14ac:dyDescent="0.2">
      <c r="A23" s="463" t="s">
        <v>22</v>
      </c>
      <c r="B23" s="827"/>
      <c r="C23" s="827"/>
      <c r="D23" s="827"/>
      <c r="E23" s="827"/>
      <c r="F23" s="827"/>
      <c r="G23" s="827"/>
      <c r="H23" s="827"/>
      <c r="I23" s="827"/>
      <c r="J23" s="827"/>
      <c r="K23" s="827"/>
      <c r="L23" s="827"/>
      <c r="M23" s="827"/>
      <c r="N23" s="827"/>
      <c r="O23" s="827"/>
      <c r="P23" s="827"/>
      <c r="Q23" s="827"/>
      <c r="R23" s="827"/>
      <c r="S23" s="827"/>
      <c r="T23" s="827"/>
      <c r="U23" s="827"/>
      <c r="V23" s="827"/>
      <c r="W23" s="827"/>
      <c r="X23" s="827"/>
      <c r="Y23" s="827"/>
      <c r="Z23" s="827"/>
      <c r="AA23" s="827"/>
      <c r="AB23" s="827"/>
      <c r="AC23" s="827"/>
      <c r="AD23" s="827"/>
      <c r="AE23" s="827"/>
      <c r="AF23" s="827"/>
      <c r="AG23" s="827"/>
      <c r="AH23" s="827"/>
      <c r="AI23" s="827"/>
      <c r="AJ23" s="827"/>
      <c r="AK23" s="827"/>
      <c r="AL23" s="827"/>
      <c r="AM23" s="827"/>
      <c r="AN23" s="827"/>
      <c r="AO23" s="827"/>
      <c r="AP23" s="827"/>
      <c r="AQ23" s="827"/>
      <c r="AR23" s="827"/>
      <c r="AS23" s="827"/>
      <c r="AT23" s="827"/>
      <c r="AU23" s="827"/>
      <c r="AV23" s="827"/>
      <c r="AW23" s="827"/>
      <c r="AX23" s="827"/>
      <c r="AY23" s="827"/>
      <c r="AZ23" s="827"/>
      <c r="BA23" s="827"/>
      <c r="BB23" s="827"/>
      <c r="BC23" s="827"/>
      <c r="BD23" s="827"/>
      <c r="BE23" s="827"/>
      <c r="BF23" s="827"/>
      <c r="BG23" s="827"/>
      <c r="BH23" s="827"/>
      <c r="BI23" s="827"/>
      <c r="BJ23" s="827"/>
      <c r="BK23" s="827"/>
      <c r="BL23" s="827"/>
      <c r="BM23" s="827"/>
      <c r="BN23" s="827"/>
      <c r="BO23" s="827"/>
      <c r="BP23" s="827"/>
      <c r="BQ23" s="827"/>
      <c r="BR23" s="827"/>
      <c r="BS23" s="827"/>
      <c r="BT23" s="827"/>
      <c r="BU23" s="827"/>
      <c r="BV23" s="827"/>
      <c r="BW23" s="827"/>
      <c r="BX23" s="827"/>
      <c r="BY23" s="827"/>
      <c r="BZ23" s="827"/>
      <c r="CA23" s="827"/>
      <c r="CB23" s="827"/>
      <c r="CC23" s="827"/>
      <c r="CD23" s="827"/>
      <c r="CE23" s="827"/>
      <c r="CF23" s="827"/>
      <c r="CG23" s="827"/>
      <c r="CH23" s="827"/>
      <c r="CI23" s="827"/>
      <c r="CJ23" s="827"/>
      <c r="CK23" s="827"/>
      <c r="CL23" s="827"/>
      <c r="CM23" s="827"/>
      <c r="CN23" s="827"/>
      <c r="CO23" s="827"/>
      <c r="CP23" s="827"/>
      <c r="CQ23" s="827"/>
      <c r="CR23" s="827"/>
      <c r="CS23" s="827"/>
      <c r="CT23" s="827"/>
      <c r="CU23" s="827"/>
      <c r="CV23" s="827"/>
      <c r="CW23" s="827"/>
      <c r="CX23" s="827"/>
      <c r="CY23" s="827"/>
      <c r="CZ23" s="827"/>
      <c r="DA23" s="827"/>
      <c r="DB23" s="827"/>
      <c r="DC23" s="827"/>
      <c r="DD23" s="827"/>
      <c r="DE23" s="827"/>
      <c r="DF23" s="827"/>
      <c r="DG23" s="827"/>
      <c r="DH23" s="827"/>
      <c r="DI23" s="827"/>
      <c r="DJ23" s="827"/>
      <c r="DK23" s="827"/>
      <c r="DL23" s="827"/>
      <c r="DM23" s="827"/>
      <c r="DN23" s="827"/>
      <c r="DO23" s="827"/>
      <c r="DP23" s="827"/>
      <c r="DQ23" s="827"/>
      <c r="DR23" s="827"/>
      <c r="DS23" s="827"/>
      <c r="DT23" s="827"/>
      <c r="DU23" s="827"/>
      <c r="DV23" s="827"/>
      <c r="DW23" s="827"/>
      <c r="DX23" s="827"/>
      <c r="DY23" s="827"/>
      <c r="DZ23" s="827"/>
      <c r="EA23" s="827"/>
      <c r="EB23" s="827"/>
      <c r="EC23" s="827"/>
      <c r="ED23" s="827"/>
      <c r="EE23" s="827"/>
      <c r="EF23" s="827"/>
      <c r="EG23" s="827"/>
      <c r="EH23" s="827"/>
      <c r="EI23" s="827"/>
      <c r="EJ23" s="827"/>
      <c r="EK23" s="827"/>
      <c r="EL23" s="827"/>
      <c r="EM23" s="827"/>
      <c r="EN23" s="827"/>
      <c r="EO23" s="827"/>
      <c r="EP23" s="827"/>
      <c r="EQ23" s="827"/>
      <c r="ER23" s="827"/>
      <c r="ES23" s="827"/>
      <c r="ET23" s="827"/>
      <c r="EU23" s="827"/>
      <c r="EV23" s="827"/>
      <c r="EW23" s="827"/>
      <c r="EX23" s="827"/>
      <c r="EY23" s="827"/>
      <c r="EZ23" s="827"/>
      <c r="FA23" s="827"/>
      <c r="FB23" s="827"/>
      <c r="FC23" s="827"/>
      <c r="FD23" s="827">
        <v>523.25113060119725</v>
      </c>
      <c r="FE23" s="827">
        <v>523.25113060119725</v>
      </c>
      <c r="FF23" s="827">
        <v>523.25113060119725</v>
      </c>
      <c r="FG23" s="827"/>
      <c r="FH23" s="827"/>
      <c r="FI23" s="827"/>
      <c r="FJ23" s="827"/>
      <c r="FK23" s="827"/>
      <c r="FL23" s="827"/>
      <c r="FM23" s="827"/>
      <c r="FN23" s="827"/>
      <c r="FO23" s="827"/>
      <c r="FP23" s="827"/>
      <c r="FQ23" s="827"/>
      <c r="FR23" s="827"/>
      <c r="FS23" s="827"/>
      <c r="FT23" s="827"/>
      <c r="FU23" s="827"/>
      <c r="FV23" s="827"/>
      <c r="FW23" s="827"/>
      <c r="FX23" s="827"/>
      <c r="FY23" s="827"/>
      <c r="FZ23" s="827"/>
      <c r="GA23" s="827"/>
      <c r="GB23" s="827"/>
      <c r="GC23" s="827"/>
      <c r="GD23" s="827"/>
      <c r="GE23" s="827"/>
      <c r="GF23" s="827"/>
      <c r="GG23" s="827"/>
      <c r="GH23" s="827"/>
      <c r="GI23" s="827"/>
      <c r="GJ23" s="827"/>
      <c r="GK23" s="827"/>
      <c r="GL23" s="827"/>
      <c r="GM23" s="827"/>
      <c r="GN23" s="827"/>
      <c r="GO23" s="827"/>
      <c r="GP23" s="827"/>
      <c r="GQ23" s="827"/>
      <c r="GR23" s="827"/>
      <c r="GS23" s="827"/>
      <c r="GT23" s="827"/>
      <c r="GU23" s="827"/>
      <c r="GV23" s="827"/>
      <c r="GW23" s="827"/>
      <c r="GX23" s="827"/>
      <c r="GY23" s="827"/>
      <c r="GZ23" s="827"/>
      <c r="HA23" s="827"/>
      <c r="HB23" s="827"/>
      <c r="HC23" s="827"/>
      <c r="HD23" s="828"/>
      <c r="HE23" s="827"/>
      <c r="HF23" s="827"/>
      <c r="HG23" s="829">
        <v>523.25113060119725</v>
      </c>
    </row>
    <row r="24" spans="1:215" ht="15" customHeight="1" x14ac:dyDescent="0.2">
      <c r="A24" s="463" t="s">
        <v>4</v>
      </c>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827"/>
      <c r="BA24" s="827"/>
      <c r="BB24" s="827"/>
      <c r="BC24" s="827"/>
      <c r="BD24" s="827"/>
      <c r="BE24" s="827"/>
      <c r="BF24" s="827"/>
      <c r="BG24" s="827"/>
      <c r="BH24" s="827"/>
      <c r="BI24" s="827"/>
      <c r="BJ24" s="827"/>
      <c r="BK24" s="827"/>
      <c r="BL24" s="827"/>
      <c r="BM24" s="827"/>
      <c r="BN24" s="827"/>
      <c r="BO24" s="827"/>
      <c r="BP24" s="827"/>
      <c r="BQ24" s="827"/>
      <c r="BR24" s="827"/>
      <c r="BS24" s="827"/>
      <c r="BT24" s="827"/>
      <c r="BU24" s="827"/>
      <c r="BV24" s="827"/>
      <c r="BW24" s="827"/>
      <c r="BX24" s="827"/>
      <c r="BY24" s="827"/>
      <c r="BZ24" s="827"/>
      <c r="CA24" s="827"/>
      <c r="CB24" s="827"/>
      <c r="CC24" s="827"/>
      <c r="CD24" s="827"/>
      <c r="CE24" s="827"/>
      <c r="CF24" s="827"/>
      <c r="CG24" s="827"/>
      <c r="CH24" s="827"/>
      <c r="CI24" s="827"/>
      <c r="CJ24" s="827"/>
      <c r="CK24" s="827"/>
      <c r="CL24" s="827"/>
      <c r="CM24" s="827"/>
      <c r="CN24" s="827"/>
      <c r="CO24" s="827"/>
      <c r="CP24" s="827"/>
      <c r="CQ24" s="827"/>
      <c r="CR24" s="827"/>
      <c r="CS24" s="827"/>
      <c r="CT24" s="827"/>
      <c r="CU24" s="827"/>
      <c r="CV24" s="827"/>
      <c r="CW24" s="827"/>
      <c r="CX24" s="827"/>
      <c r="CY24" s="827"/>
      <c r="CZ24" s="827"/>
      <c r="DA24" s="827"/>
      <c r="DB24" s="827"/>
      <c r="DC24" s="827"/>
      <c r="DD24" s="827"/>
      <c r="DE24" s="827"/>
      <c r="DF24" s="827"/>
      <c r="DG24" s="827"/>
      <c r="DH24" s="827"/>
      <c r="DI24" s="827"/>
      <c r="DJ24" s="827"/>
      <c r="DK24" s="827"/>
      <c r="DL24" s="827"/>
      <c r="DM24" s="827"/>
      <c r="DN24" s="827"/>
      <c r="DO24" s="827"/>
      <c r="DP24" s="827"/>
      <c r="DQ24" s="827"/>
      <c r="DR24" s="827"/>
      <c r="DS24" s="827"/>
      <c r="DT24" s="827"/>
      <c r="DU24" s="827"/>
      <c r="DV24" s="827"/>
      <c r="DW24" s="827"/>
      <c r="DX24" s="827"/>
      <c r="DY24" s="827"/>
      <c r="DZ24" s="827"/>
      <c r="EA24" s="827"/>
      <c r="EB24" s="827"/>
      <c r="EC24" s="827"/>
      <c r="ED24" s="827"/>
      <c r="EE24" s="827"/>
      <c r="EF24" s="827"/>
      <c r="EG24" s="827"/>
      <c r="EH24" s="827"/>
      <c r="EI24" s="827"/>
      <c r="EJ24" s="827"/>
      <c r="EK24" s="827"/>
      <c r="EL24" s="827"/>
      <c r="EM24" s="827"/>
      <c r="EN24" s="827"/>
      <c r="EO24" s="827"/>
      <c r="EP24" s="827"/>
      <c r="EQ24" s="827"/>
      <c r="ER24" s="827"/>
      <c r="ES24" s="827"/>
      <c r="ET24" s="827"/>
      <c r="EU24" s="827"/>
      <c r="EV24" s="827"/>
      <c r="EW24" s="827"/>
      <c r="EX24" s="827"/>
      <c r="EY24" s="827"/>
      <c r="EZ24" s="827"/>
      <c r="FA24" s="827"/>
      <c r="FB24" s="827"/>
      <c r="FC24" s="827"/>
      <c r="FD24" s="827"/>
      <c r="FE24" s="827"/>
      <c r="FF24" s="827"/>
      <c r="FG24" s="827"/>
      <c r="FH24" s="827"/>
      <c r="FI24" s="827"/>
      <c r="FJ24" s="827"/>
      <c r="FK24" s="827"/>
      <c r="FL24" s="827"/>
      <c r="FM24" s="827"/>
      <c r="FN24" s="827"/>
      <c r="FO24" s="827"/>
      <c r="FP24" s="827"/>
      <c r="FQ24" s="827"/>
      <c r="FR24" s="827"/>
      <c r="FS24" s="827"/>
      <c r="FT24" s="827"/>
      <c r="FU24" s="827"/>
      <c r="FV24" s="827"/>
      <c r="FW24" s="827"/>
      <c r="FX24" s="827"/>
      <c r="FY24" s="827"/>
      <c r="FZ24" s="827"/>
      <c r="GA24" s="827"/>
      <c r="GB24" s="827"/>
      <c r="GC24" s="827"/>
      <c r="GD24" s="827"/>
      <c r="GE24" s="827"/>
      <c r="GF24" s="827"/>
      <c r="GG24" s="827"/>
      <c r="GH24" s="827"/>
      <c r="GI24" s="827"/>
      <c r="GJ24" s="827"/>
      <c r="GK24" s="827">
        <v>0</v>
      </c>
      <c r="GL24" s="827">
        <v>0</v>
      </c>
      <c r="GM24" s="827">
        <v>0</v>
      </c>
      <c r="GN24" s="827"/>
      <c r="GO24" s="827"/>
      <c r="GP24" s="827"/>
      <c r="GQ24" s="827"/>
      <c r="GR24" s="827"/>
      <c r="GS24" s="827"/>
      <c r="GT24" s="827"/>
      <c r="GU24" s="827"/>
      <c r="GV24" s="827"/>
      <c r="GW24" s="827"/>
      <c r="GX24" s="827"/>
      <c r="GY24" s="827"/>
      <c r="GZ24" s="827"/>
      <c r="HA24" s="827"/>
      <c r="HB24" s="827"/>
      <c r="HC24" s="827"/>
      <c r="HD24" s="828"/>
      <c r="HE24" s="827"/>
      <c r="HF24" s="827"/>
      <c r="HG24" s="829">
        <v>0</v>
      </c>
    </row>
    <row r="25" spans="1:215" ht="15" customHeight="1" x14ac:dyDescent="0.2">
      <c r="A25" s="463" t="s">
        <v>128</v>
      </c>
      <c r="B25" s="827"/>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7"/>
      <c r="AZ25" s="827"/>
      <c r="BA25" s="827"/>
      <c r="BB25" s="827"/>
      <c r="BC25" s="827"/>
      <c r="BD25" s="827"/>
      <c r="BE25" s="827"/>
      <c r="BF25" s="827"/>
      <c r="BG25" s="827"/>
      <c r="BH25" s="827"/>
      <c r="BI25" s="827"/>
      <c r="BJ25" s="827"/>
      <c r="BK25" s="827"/>
      <c r="BL25" s="827"/>
      <c r="BM25" s="827"/>
      <c r="BN25" s="827"/>
      <c r="BO25" s="827"/>
      <c r="BP25" s="827"/>
      <c r="BQ25" s="827"/>
      <c r="BR25" s="827"/>
      <c r="BS25" s="827"/>
      <c r="BT25" s="827"/>
      <c r="BU25" s="827"/>
      <c r="BV25" s="827"/>
      <c r="BW25" s="827"/>
      <c r="BX25" s="827"/>
      <c r="BY25" s="827"/>
      <c r="BZ25" s="827"/>
      <c r="CA25" s="827"/>
      <c r="CB25" s="827"/>
      <c r="CC25" s="827"/>
      <c r="CD25" s="827"/>
      <c r="CE25" s="827"/>
      <c r="CF25" s="827"/>
      <c r="CG25" s="827"/>
      <c r="CH25" s="827"/>
      <c r="CI25" s="827"/>
      <c r="CJ25" s="827"/>
      <c r="CK25" s="827"/>
      <c r="CL25" s="827"/>
      <c r="CM25" s="827"/>
      <c r="CN25" s="827"/>
      <c r="CO25" s="827"/>
      <c r="CP25" s="827"/>
      <c r="CQ25" s="827"/>
      <c r="CR25" s="827"/>
      <c r="CS25" s="827"/>
      <c r="CT25" s="827"/>
      <c r="CU25" s="827"/>
      <c r="CV25" s="827"/>
      <c r="CW25" s="827"/>
      <c r="CX25" s="827"/>
      <c r="CY25" s="827"/>
      <c r="CZ25" s="827"/>
      <c r="DA25" s="827"/>
      <c r="DB25" s="827"/>
      <c r="DC25" s="827"/>
      <c r="DD25" s="827"/>
      <c r="DE25" s="827"/>
      <c r="DF25" s="827"/>
      <c r="DG25" s="827"/>
      <c r="DH25" s="827"/>
      <c r="DI25" s="827"/>
      <c r="DJ25" s="827"/>
      <c r="DK25" s="827"/>
      <c r="DL25" s="827"/>
      <c r="DM25" s="827"/>
      <c r="DN25" s="827"/>
      <c r="DO25" s="827"/>
      <c r="DP25" s="827"/>
      <c r="DQ25" s="827"/>
      <c r="DR25" s="827"/>
      <c r="DS25" s="827"/>
      <c r="DT25" s="827">
        <v>23.341276256481081</v>
      </c>
      <c r="DU25" s="827">
        <v>23.341276256481081</v>
      </c>
      <c r="DV25" s="827">
        <v>23.341276256481081</v>
      </c>
      <c r="DW25" s="827"/>
      <c r="DX25" s="827"/>
      <c r="DY25" s="827"/>
      <c r="DZ25" s="827"/>
      <c r="EA25" s="827"/>
      <c r="EB25" s="827"/>
      <c r="EC25" s="827"/>
      <c r="ED25" s="827"/>
      <c r="EE25" s="827"/>
      <c r="EF25" s="827"/>
      <c r="EG25" s="827"/>
      <c r="EH25" s="827"/>
      <c r="EI25" s="827"/>
      <c r="EJ25" s="827"/>
      <c r="EK25" s="827"/>
      <c r="EL25" s="827"/>
      <c r="EM25" s="827"/>
      <c r="EN25" s="827"/>
      <c r="EO25" s="827"/>
      <c r="EP25" s="827"/>
      <c r="EQ25" s="827"/>
      <c r="ER25" s="827"/>
      <c r="ES25" s="827"/>
      <c r="ET25" s="827"/>
      <c r="EU25" s="827"/>
      <c r="EV25" s="827"/>
      <c r="EW25" s="827"/>
      <c r="EX25" s="827"/>
      <c r="EY25" s="827"/>
      <c r="EZ25" s="827"/>
      <c r="FA25" s="827"/>
      <c r="FB25" s="827"/>
      <c r="FC25" s="827"/>
      <c r="FD25" s="827"/>
      <c r="FE25" s="827"/>
      <c r="FF25" s="827"/>
      <c r="FG25" s="827"/>
      <c r="FH25" s="827"/>
      <c r="FI25" s="827"/>
      <c r="FJ25" s="827"/>
      <c r="FK25" s="827"/>
      <c r="FL25" s="827"/>
      <c r="FM25" s="827"/>
      <c r="FN25" s="827"/>
      <c r="FO25" s="827"/>
      <c r="FP25" s="827"/>
      <c r="FQ25" s="827"/>
      <c r="FR25" s="827"/>
      <c r="FS25" s="827"/>
      <c r="FT25" s="827"/>
      <c r="FU25" s="827"/>
      <c r="FV25" s="827"/>
      <c r="FW25" s="827"/>
      <c r="FX25" s="827"/>
      <c r="FY25" s="827"/>
      <c r="FZ25" s="827"/>
      <c r="GA25" s="827"/>
      <c r="GB25" s="827"/>
      <c r="GC25" s="827"/>
      <c r="GD25" s="827"/>
      <c r="GE25" s="827"/>
      <c r="GF25" s="827"/>
      <c r="GG25" s="827"/>
      <c r="GH25" s="827"/>
      <c r="GI25" s="827"/>
      <c r="GJ25" s="827"/>
      <c r="GK25" s="827"/>
      <c r="GL25" s="827"/>
      <c r="GM25" s="827"/>
      <c r="GN25" s="827"/>
      <c r="GO25" s="827"/>
      <c r="GP25" s="827"/>
      <c r="GQ25" s="827"/>
      <c r="GR25" s="827"/>
      <c r="GS25" s="827"/>
      <c r="GT25" s="827"/>
      <c r="GU25" s="827"/>
      <c r="GV25" s="827"/>
      <c r="GW25" s="827"/>
      <c r="GX25" s="827"/>
      <c r="GY25" s="827"/>
      <c r="GZ25" s="827"/>
      <c r="HA25" s="827"/>
      <c r="HB25" s="827"/>
      <c r="HC25" s="827"/>
      <c r="HD25" s="828"/>
      <c r="HE25" s="827"/>
      <c r="HF25" s="827"/>
      <c r="HG25" s="829">
        <v>23.341276256481081</v>
      </c>
    </row>
    <row r="26" spans="1:215" ht="15" customHeight="1" x14ac:dyDescent="0.2">
      <c r="A26" s="463" t="s">
        <v>97</v>
      </c>
      <c r="B26" s="827"/>
      <c r="C26" s="827"/>
      <c r="D26" s="827"/>
      <c r="E26" s="827"/>
      <c r="F26" s="827"/>
      <c r="G26" s="827"/>
      <c r="H26" s="827"/>
      <c r="I26" s="827"/>
      <c r="J26" s="827"/>
      <c r="K26" s="827"/>
      <c r="L26" s="827"/>
      <c r="M26" s="827"/>
      <c r="N26" s="827"/>
      <c r="O26" s="827"/>
      <c r="P26" s="827"/>
      <c r="Q26" s="827"/>
      <c r="R26" s="827"/>
      <c r="S26" s="827"/>
      <c r="T26" s="827"/>
      <c r="U26" s="827"/>
      <c r="V26" s="827"/>
      <c r="W26" s="827">
        <v>0.42499999999999999</v>
      </c>
      <c r="X26" s="827">
        <v>0.42499999999999999</v>
      </c>
      <c r="Y26" s="827">
        <v>0.42499999999999999</v>
      </c>
      <c r="Z26" s="827"/>
      <c r="AA26" s="827"/>
      <c r="AB26" s="827"/>
      <c r="AC26" s="827"/>
      <c r="AD26" s="827"/>
      <c r="AE26" s="827"/>
      <c r="AF26" s="827"/>
      <c r="AG26" s="827"/>
      <c r="AH26" s="827"/>
      <c r="AI26" s="827"/>
      <c r="AJ26" s="827"/>
      <c r="AK26" s="827"/>
      <c r="AL26" s="827"/>
      <c r="AM26" s="827"/>
      <c r="AN26" s="827"/>
      <c r="AO26" s="827"/>
      <c r="AP26" s="827"/>
      <c r="AQ26" s="827"/>
      <c r="AR26" s="827"/>
      <c r="AS26" s="827"/>
      <c r="AT26" s="827"/>
      <c r="AU26" s="827"/>
      <c r="AV26" s="827"/>
      <c r="AW26" s="827"/>
      <c r="AX26" s="827"/>
      <c r="AY26" s="827"/>
      <c r="AZ26" s="827"/>
      <c r="BA26" s="827"/>
      <c r="BB26" s="827"/>
      <c r="BC26" s="827"/>
      <c r="BD26" s="827"/>
      <c r="BE26" s="827"/>
      <c r="BF26" s="827"/>
      <c r="BG26" s="827"/>
      <c r="BH26" s="827"/>
      <c r="BI26" s="827"/>
      <c r="BJ26" s="827"/>
      <c r="BK26" s="827"/>
      <c r="BL26" s="827"/>
      <c r="BM26" s="827"/>
      <c r="BN26" s="827"/>
      <c r="BO26" s="827"/>
      <c r="BP26" s="827"/>
      <c r="BQ26" s="827"/>
      <c r="BR26" s="827"/>
      <c r="BS26" s="827"/>
      <c r="BT26" s="827"/>
      <c r="BU26" s="827"/>
      <c r="BV26" s="827"/>
      <c r="BW26" s="827"/>
      <c r="BX26" s="827"/>
      <c r="BY26" s="827"/>
      <c r="BZ26" s="827"/>
      <c r="CA26" s="827"/>
      <c r="CB26" s="827"/>
      <c r="CC26" s="827"/>
      <c r="CD26" s="827"/>
      <c r="CE26" s="827"/>
      <c r="CF26" s="827"/>
      <c r="CG26" s="827"/>
      <c r="CH26" s="827"/>
      <c r="CI26" s="827"/>
      <c r="CJ26" s="827"/>
      <c r="CK26" s="827"/>
      <c r="CL26" s="827"/>
      <c r="CM26" s="827"/>
      <c r="CN26" s="827"/>
      <c r="CO26" s="827"/>
      <c r="CP26" s="827"/>
      <c r="CQ26" s="827"/>
      <c r="CR26" s="827"/>
      <c r="CS26" s="827"/>
      <c r="CT26" s="827"/>
      <c r="CU26" s="827"/>
      <c r="CV26" s="827"/>
      <c r="CW26" s="827"/>
      <c r="CX26" s="827"/>
      <c r="CY26" s="827"/>
      <c r="CZ26" s="827"/>
      <c r="DA26" s="827"/>
      <c r="DB26" s="827"/>
      <c r="DC26" s="827"/>
      <c r="DD26" s="827"/>
      <c r="DE26" s="827"/>
      <c r="DF26" s="827"/>
      <c r="DG26" s="827"/>
      <c r="DH26" s="827"/>
      <c r="DI26" s="827"/>
      <c r="DJ26" s="827"/>
      <c r="DK26" s="827"/>
      <c r="DL26" s="827"/>
      <c r="DM26" s="827"/>
      <c r="DN26" s="827"/>
      <c r="DO26" s="827"/>
      <c r="DP26" s="827"/>
      <c r="DQ26" s="827"/>
      <c r="DR26" s="827"/>
      <c r="DS26" s="827"/>
      <c r="DT26" s="827"/>
      <c r="DU26" s="827"/>
      <c r="DV26" s="827"/>
      <c r="DW26" s="827"/>
      <c r="DX26" s="827"/>
      <c r="DY26" s="827"/>
      <c r="DZ26" s="827"/>
      <c r="EA26" s="827"/>
      <c r="EB26" s="827"/>
      <c r="EC26" s="827"/>
      <c r="ED26" s="827"/>
      <c r="EE26" s="827"/>
      <c r="EF26" s="827"/>
      <c r="EG26" s="827"/>
      <c r="EH26" s="827"/>
      <c r="EI26" s="827"/>
      <c r="EJ26" s="827"/>
      <c r="EK26" s="827"/>
      <c r="EL26" s="827"/>
      <c r="EM26" s="827"/>
      <c r="EN26" s="827"/>
      <c r="EO26" s="827"/>
      <c r="EP26" s="827"/>
      <c r="EQ26" s="827"/>
      <c r="ER26" s="827"/>
      <c r="ES26" s="827"/>
      <c r="ET26" s="827"/>
      <c r="EU26" s="827"/>
      <c r="EV26" s="827"/>
      <c r="EW26" s="827"/>
      <c r="EX26" s="827"/>
      <c r="EY26" s="827"/>
      <c r="EZ26" s="827"/>
      <c r="FA26" s="827"/>
      <c r="FB26" s="827"/>
      <c r="FC26" s="827"/>
      <c r="FD26" s="827"/>
      <c r="FE26" s="827"/>
      <c r="FF26" s="827"/>
      <c r="FG26" s="827"/>
      <c r="FH26" s="827"/>
      <c r="FI26" s="827"/>
      <c r="FJ26" s="827"/>
      <c r="FK26" s="827"/>
      <c r="FL26" s="827"/>
      <c r="FM26" s="827"/>
      <c r="FN26" s="827"/>
      <c r="FO26" s="827"/>
      <c r="FP26" s="827"/>
      <c r="FQ26" s="827"/>
      <c r="FR26" s="827"/>
      <c r="FS26" s="827"/>
      <c r="FT26" s="827"/>
      <c r="FU26" s="827"/>
      <c r="FV26" s="827"/>
      <c r="FW26" s="827"/>
      <c r="FX26" s="827"/>
      <c r="FY26" s="827"/>
      <c r="FZ26" s="827"/>
      <c r="GA26" s="827"/>
      <c r="GB26" s="827"/>
      <c r="GC26" s="827"/>
      <c r="GD26" s="827"/>
      <c r="GE26" s="827"/>
      <c r="GF26" s="827"/>
      <c r="GG26" s="827"/>
      <c r="GH26" s="827"/>
      <c r="GI26" s="827"/>
      <c r="GJ26" s="827"/>
      <c r="GK26" s="827"/>
      <c r="GL26" s="827"/>
      <c r="GM26" s="827"/>
      <c r="GN26" s="827"/>
      <c r="GO26" s="827"/>
      <c r="GP26" s="827"/>
      <c r="GQ26" s="827"/>
      <c r="GR26" s="827"/>
      <c r="GS26" s="827"/>
      <c r="GT26" s="827"/>
      <c r="GU26" s="827"/>
      <c r="GV26" s="827"/>
      <c r="GW26" s="827"/>
      <c r="GX26" s="827"/>
      <c r="GY26" s="827"/>
      <c r="GZ26" s="827"/>
      <c r="HA26" s="827"/>
      <c r="HB26" s="827"/>
      <c r="HC26" s="827"/>
      <c r="HD26" s="828"/>
      <c r="HE26" s="827"/>
      <c r="HF26" s="827"/>
      <c r="HG26" s="829">
        <v>0.42499999999999999</v>
      </c>
    </row>
    <row r="27" spans="1:215" ht="15" customHeight="1" x14ac:dyDescent="0.2">
      <c r="A27" s="463" t="s">
        <v>109</v>
      </c>
      <c r="B27" s="827"/>
      <c r="C27" s="827"/>
      <c r="D27" s="827"/>
      <c r="E27" s="827"/>
      <c r="F27" s="827"/>
      <c r="G27" s="827"/>
      <c r="H27" s="827"/>
      <c r="I27" s="827"/>
      <c r="J27" s="827"/>
      <c r="K27" s="827"/>
      <c r="L27" s="827"/>
      <c r="M27" s="827"/>
      <c r="N27" s="827"/>
      <c r="O27" s="827"/>
      <c r="P27" s="827"/>
      <c r="Q27" s="827"/>
      <c r="R27" s="827"/>
      <c r="S27" s="827"/>
      <c r="T27" s="827"/>
      <c r="U27" s="827"/>
      <c r="V27" s="827"/>
      <c r="W27" s="827"/>
      <c r="X27" s="827"/>
      <c r="Y27" s="827"/>
      <c r="Z27" s="827"/>
      <c r="AA27" s="827"/>
      <c r="AB27" s="827"/>
      <c r="AC27" s="827"/>
      <c r="AD27" s="827"/>
      <c r="AE27" s="827"/>
      <c r="AF27" s="827"/>
      <c r="AG27" s="827"/>
      <c r="AH27" s="827"/>
      <c r="AI27" s="827"/>
      <c r="AJ27" s="827"/>
      <c r="AK27" s="827"/>
      <c r="AL27" s="827"/>
      <c r="AM27" s="827"/>
      <c r="AN27" s="827"/>
      <c r="AO27" s="827"/>
      <c r="AP27" s="827"/>
      <c r="AQ27" s="827"/>
      <c r="AR27" s="827"/>
      <c r="AS27" s="827"/>
      <c r="AT27" s="827"/>
      <c r="AU27" s="827"/>
      <c r="AV27" s="827"/>
      <c r="AW27" s="827"/>
      <c r="AX27" s="827"/>
      <c r="AY27" s="827"/>
      <c r="AZ27" s="827"/>
      <c r="BA27" s="827"/>
      <c r="BB27" s="827"/>
      <c r="BC27" s="827"/>
      <c r="BD27" s="827"/>
      <c r="BE27" s="827"/>
      <c r="BF27" s="827"/>
      <c r="BG27" s="827"/>
      <c r="BH27" s="827"/>
      <c r="BI27" s="827"/>
      <c r="BJ27" s="827"/>
      <c r="BK27" s="827"/>
      <c r="BL27" s="827"/>
      <c r="BM27" s="827"/>
      <c r="BN27" s="827"/>
      <c r="BO27" s="827"/>
      <c r="BP27" s="827"/>
      <c r="BQ27" s="827"/>
      <c r="BR27" s="827"/>
      <c r="BS27" s="827"/>
      <c r="BT27" s="827"/>
      <c r="BU27" s="827"/>
      <c r="BV27" s="827"/>
      <c r="BW27" s="827"/>
      <c r="BX27" s="827"/>
      <c r="BY27" s="827"/>
      <c r="BZ27" s="827"/>
      <c r="CA27" s="827"/>
      <c r="CB27" s="827"/>
      <c r="CC27" s="827"/>
      <c r="CD27" s="827"/>
      <c r="CE27" s="827"/>
      <c r="CF27" s="827"/>
      <c r="CG27" s="827">
        <v>6.6</v>
      </c>
      <c r="CH27" s="827">
        <v>6.6</v>
      </c>
      <c r="CI27" s="827">
        <v>6.6</v>
      </c>
      <c r="CJ27" s="827"/>
      <c r="CK27" s="827"/>
      <c r="CL27" s="827"/>
      <c r="CM27" s="827"/>
      <c r="CN27" s="827"/>
      <c r="CO27" s="827"/>
      <c r="CP27" s="827"/>
      <c r="CQ27" s="827"/>
      <c r="CR27" s="827"/>
      <c r="CS27" s="827"/>
      <c r="CT27" s="827"/>
      <c r="CU27" s="827"/>
      <c r="CV27" s="827"/>
      <c r="CW27" s="827"/>
      <c r="CX27" s="827"/>
      <c r="CY27" s="827"/>
      <c r="CZ27" s="827"/>
      <c r="DA27" s="827"/>
      <c r="DB27" s="827"/>
      <c r="DC27" s="827"/>
      <c r="DD27" s="827"/>
      <c r="DE27" s="827"/>
      <c r="DF27" s="827"/>
      <c r="DG27" s="827"/>
      <c r="DH27" s="827"/>
      <c r="DI27" s="827"/>
      <c r="DJ27" s="827"/>
      <c r="DK27" s="827"/>
      <c r="DL27" s="827"/>
      <c r="DM27" s="827"/>
      <c r="DN27" s="827"/>
      <c r="DO27" s="827"/>
      <c r="DP27" s="827"/>
      <c r="DQ27" s="827"/>
      <c r="DR27" s="827"/>
      <c r="DS27" s="827"/>
      <c r="DT27" s="827"/>
      <c r="DU27" s="827"/>
      <c r="DV27" s="827"/>
      <c r="DW27" s="827"/>
      <c r="DX27" s="827"/>
      <c r="DY27" s="827"/>
      <c r="DZ27" s="827"/>
      <c r="EA27" s="827"/>
      <c r="EB27" s="827"/>
      <c r="EC27" s="827"/>
      <c r="ED27" s="827"/>
      <c r="EE27" s="827"/>
      <c r="EF27" s="827"/>
      <c r="EG27" s="827"/>
      <c r="EH27" s="827"/>
      <c r="EI27" s="827"/>
      <c r="EJ27" s="827"/>
      <c r="EK27" s="827"/>
      <c r="EL27" s="827"/>
      <c r="EM27" s="827"/>
      <c r="EN27" s="827"/>
      <c r="EO27" s="827"/>
      <c r="EP27" s="827"/>
      <c r="EQ27" s="827"/>
      <c r="ER27" s="827"/>
      <c r="ES27" s="827"/>
      <c r="ET27" s="827"/>
      <c r="EU27" s="827"/>
      <c r="EV27" s="827"/>
      <c r="EW27" s="827"/>
      <c r="EX27" s="827"/>
      <c r="EY27" s="827"/>
      <c r="EZ27" s="827"/>
      <c r="FA27" s="827"/>
      <c r="FB27" s="827"/>
      <c r="FC27" s="827"/>
      <c r="FD27" s="827"/>
      <c r="FE27" s="827"/>
      <c r="FF27" s="827"/>
      <c r="FG27" s="827"/>
      <c r="FH27" s="827"/>
      <c r="FI27" s="827"/>
      <c r="FJ27" s="827"/>
      <c r="FK27" s="827"/>
      <c r="FL27" s="827"/>
      <c r="FM27" s="827"/>
      <c r="FN27" s="827"/>
      <c r="FO27" s="827"/>
      <c r="FP27" s="827"/>
      <c r="FQ27" s="827"/>
      <c r="FR27" s="827"/>
      <c r="FS27" s="827"/>
      <c r="FT27" s="827"/>
      <c r="FU27" s="827"/>
      <c r="FV27" s="827"/>
      <c r="FW27" s="827"/>
      <c r="FX27" s="827"/>
      <c r="FY27" s="827"/>
      <c r="FZ27" s="827"/>
      <c r="GA27" s="827"/>
      <c r="GB27" s="827"/>
      <c r="GC27" s="827"/>
      <c r="GD27" s="827"/>
      <c r="GE27" s="827"/>
      <c r="GF27" s="827"/>
      <c r="GG27" s="827"/>
      <c r="GH27" s="827"/>
      <c r="GI27" s="827"/>
      <c r="GJ27" s="827"/>
      <c r="GK27" s="827"/>
      <c r="GL27" s="827"/>
      <c r="GM27" s="827"/>
      <c r="GN27" s="827"/>
      <c r="GO27" s="827"/>
      <c r="GP27" s="827"/>
      <c r="GQ27" s="827"/>
      <c r="GR27" s="827"/>
      <c r="GS27" s="827"/>
      <c r="GT27" s="827"/>
      <c r="GU27" s="827"/>
      <c r="GV27" s="827"/>
      <c r="GW27" s="827"/>
      <c r="GX27" s="827"/>
      <c r="GY27" s="827"/>
      <c r="GZ27" s="827"/>
      <c r="HA27" s="827"/>
      <c r="HB27" s="827"/>
      <c r="HC27" s="827"/>
      <c r="HD27" s="828"/>
      <c r="HE27" s="827"/>
      <c r="HF27" s="827"/>
      <c r="HG27" s="829">
        <v>6.6</v>
      </c>
    </row>
    <row r="28" spans="1:215" ht="15" customHeight="1" x14ac:dyDescent="0.2">
      <c r="A28" s="463" t="s">
        <v>38</v>
      </c>
      <c r="B28" s="827"/>
      <c r="C28" s="827"/>
      <c r="D28" s="827"/>
      <c r="E28" s="827"/>
      <c r="F28" s="827"/>
      <c r="G28" s="827"/>
      <c r="H28" s="827"/>
      <c r="I28" s="827"/>
      <c r="J28" s="827"/>
      <c r="K28" s="827"/>
      <c r="L28" s="827"/>
      <c r="M28" s="827"/>
      <c r="N28" s="827"/>
      <c r="O28" s="827"/>
      <c r="P28" s="827"/>
      <c r="Q28" s="827"/>
      <c r="R28" s="827"/>
      <c r="S28" s="827"/>
      <c r="T28" s="827"/>
      <c r="U28" s="827"/>
      <c r="V28" s="827"/>
      <c r="W28" s="827"/>
      <c r="X28" s="827"/>
      <c r="Y28" s="827"/>
      <c r="Z28" s="827"/>
      <c r="AA28" s="827"/>
      <c r="AB28" s="827"/>
      <c r="AC28" s="827"/>
      <c r="AD28" s="827"/>
      <c r="AE28" s="827"/>
      <c r="AF28" s="827"/>
      <c r="AG28" s="827"/>
      <c r="AH28" s="827"/>
      <c r="AI28" s="827"/>
      <c r="AJ28" s="827"/>
      <c r="AK28" s="827"/>
      <c r="AL28" s="827"/>
      <c r="AM28" s="827"/>
      <c r="AN28" s="827"/>
      <c r="AO28" s="827"/>
      <c r="AP28" s="827"/>
      <c r="AQ28" s="827"/>
      <c r="AR28" s="827"/>
      <c r="AS28" s="827"/>
      <c r="AT28" s="827"/>
      <c r="AU28" s="827"/>
      <c r="AV28" s="827"/>
      <c r="AW28" s="827"/>
      <c r="AX28" s="827"/>
      <c r="AY28" s="827"/>
      <c r="AZ28" s="827"/>
      <c r="BA28" s="827"/>
      <c r="BB28" s="827"/>
      <c r="BC28" s="827"/>
      <c r="BD28" s="827"/>
      <c r="BE28" s="827"/>
      <c r="BF28" s="827"/>
      <c r="BG28" s="827"/>
      <c r="BH28" s="827"/>
      <c r="BI28" s="827"/>
      <c r="BJ28" s="827"/>
      <c r="BK28" s="827"/>
      <c r="BL28" s="827"/>
      <c r="BM28" s="827"/>
      <c r="BN28" s="827"/>
      <c r="BO28" s="827"/>
      <c r="BP28" s="827"/>
      <c r="BQ28" s="827"/>
      <c r="BR28" s="827"/>
      <c r="BS28" s="827"/>
      <c r="BT28" s="827"/>
      <c r="BU28" s="827"/>
      <c r="BV28" s="827"/>
      <c r="BW28" s="827"/>
      <c r="BX28" s="827"/>
      <c r="BY28" s="827"/>
      <c r="BZ28" s="827"/>
      <c r="CA28" s="827"/>
      <c r="CB28" s="827"/>
      <c r="CC28" s="827"/>
      <c r="CD28" s="827"/>
      <c r="CE28" s="827"/>
      <c r="CF28" s="827"/>
      <c r="CG28" s="827"/>
      <c r="CH28" s="827"/>
      <c r="CI28" s="827"/>
      <c r="CJ28" s="827"/>
      <c r="CK28" s="827"/>
      <c r="CL28" s="827"/>
      <c r="CM28" s="827"/>
      <c r="CN28" s="827"/>
      <c r="CO28" s="827"/>
      <c r="CP28" s="827"/>
      <c r="CQ28" s="827"/>
      <c r="CR28" s="827"/>
      <c r="CS28" s="827"/>
      <c r="CT28" s="827"/>
      <c r="CU28" s="827"/>
      <c r="CV28" s="827"/>
      <c r="CW28" s="827"/>
      <c r="CX28" s="827"/>
      <c r="CY28" s="827"/>
      <c r="CZ28" s="827"/>
      <c r="DA28" s="827"/>
      <c r="DB28" s="827"/>
      <c r="DC28" s="827"/>
      <c r="DD28" s="827"/>
      <c r="DE28" s="827"/>
      <c r="DF28" s="827"/>
      <c r="DG28" s="827"/>
      <c r="DH28" s="827"/>
      <c r="DI28" s="827"/>
      <c r="DJ28" s="827"/>
      <c r="DK28" s="827"/>
      <c r="DL28" s="827"/>
      <c r="DM28" s="827"/>
      <c r="DN28" s="827"/>
      <c r="DO28" s="827"/>
      <c r="DP28" s="827"/>
      <c r="DQ28" s="827"/>
      <c r="DR28" s="827"/>
      <c r="DS28" s="827"/>
      <c r="DT28" s="827"/>
      <c r="DU28" s="827"/>
      <c r="DV28" s="827"/>
      <c r="DW28" s="827"/>
      <c r="DX28" s="827"/>
      <c r="DY28" s="827"/>
      <c r="DZ28" s="827"/>
      <c r="EA28" s="827"/>
      <c r="EB28" s="827"/>
      <c r="EC28" s="827"/>
      <c r="ED28" s="827"/>
      <c r="EE28" s="827"/>
      <c r="EF28" s="827"/>
      <c r="EG28" s="827"/>
      <c r="EH28" s="827"/>
      <c r="EI28" s="827"/>
      <c r="EJ28" s="827"/>
      <c r="EK28" s="827"/>
      <c r="EL28" s="827"/>
      <c r="EM28" s="827"/>
      <c r="EN28" s="827"/>
      <c r="EO28" s="827"/>
      <c r="EP28" s="827"/>
      <c r="EQ28" s="827"/>
      <c r="ER28" s="827"/>
      <c r="ES28" s="827"/>
      <c r="ET28" s="827"/>
      <c r="EU28" s="827"/>
      <c r="EV28" s="827"/>
      <c r="EW28" s="827"/>
      <c r="EX28" s="827"/>
      <c r="EY28" s="827"/>
      <c r="EZ28" s="827"/>
      <c r="FA28" s="827"/>
      <c r="FB28" s="827"/>
      <c r="FC28" s="827"/>
      <c r="FD28" s="827"/>
      <c r="FE28" s="827"/>
      <c r="FF28" s="827"/>
      <c r="FG28" s="827">
        <v>622.25396744416173</v>
      </c>
      <c r="FH28" s="827">
        <v>622.25396744416173</v>
      </c>
      <c r="FI28" s="827">
        <v>622.25396744416173</v>
      </c>
      <c r="FJ28" s="827"/>
      <c r="FK28" s="827"/>
      <c r="FL28" s="827"/>
      <c r="FM28" s="827"/>
      <c r="FN28" s="827"/>
      <c r="FO28" s="827"/>
      <c r="FP28" s="827"/>
      <c r="FQ28" s="827"/>
      <c r="FR28" s="827"/>
      <c r="FS28" s="827"/>
      <c r="FT28" s="827"/>
      <c r="FU28" s="827"/>
      <c r="FV28" s="827"/>
      <c r="FW28" s="827"/>
      <c r="FX28" s="827"/>
      <c r="FY28" s="827"/>
      <c r="FZ28" s="827"/>
      <c r="GA28" s="827"/>
      <c r="GB28" s="827"/>
      <c r="GC28" s="827"/>
      <c r="GD28" s="827"/>
      <c r="GE28" s="827"/>
      <c r="GF28" s="827"/>
      <c r="GG28" s="827"/>
      <c r="GH28" s="827"/>
      <c r="GI28" s="827"/>
      <c r="GJ28" s="827"/>
      <c r="GK28" s="827"/>
      <c r="GL28" s="827"/>
      <c r="GM28" s="827"/>
      <c r="GN28" s="827"/>
      <c r="GO28" s="827"/>
      <c r="GP28" s="827"/>
      <c r="GQ28" s="827"/>
      <c r="GR28" s="827"/>
      <c r="GS28" s="827"/>
      <c r="GT28" s="827"/>
      <c r="GU28" s="827"/>
      <c r="GV28" s="827"/>
      <c r="GW28" s="827"/>
      <c r="GX28" s="827"/>
      <c r="GY28" s="827"/>
      <c r="GZ28" s="827"/>
      <c r="HA28" s="827"/>
      <c r="HB28" s="827"/>
      <c r="HC28" s="827"/>
      <c r="HD28" s="828"/>
      <c r="HE28" s="827"/>
      <c r="HF28" s="827"/>
      <c r="HG28" s="829">
        <v>622.25396744416173</v>
      </c>
    </row>
    <row r="29" spans="1:215" ht="15" customHeight="1" x14ac:dyDescent="0.2">
      <c r="A29" s="463" t="s">
        <v>23</v>
      </c>
      <c r="B29" s="827"/>
      <c r="C29" s="827"/>
      <c r="D29" s="827"/>
      <c r="E29" s="827"/>
      <c r="F29" s="827"/>
      <c r="G29" s="827"/>
      <c r="H29" s="827"/>
      <c r="I29" s="827"/>
      <c r="J29" s="827"/>
      <c r="K29" s="827"/>
      <c r="L29" s="827"/>
      <c r="M29" s="827"/>
      <c r="N29" s="827"/>
      <c r="O29" s="827"/>
      <c r="P29" s="827"/>
      <c r="Q29" s="827"/>
      <c r="R29" s="827"/>
      <c r="S29" s="827"/>
      <c r="T29" s="827"/>
      <c r="U29" s="827"/>
      <c r="V29" s="827"/>
      <c r="W29" s="827"/>
      <c r="X29" s="827"/>
      <c r="Y29" s="827"/>
      <c r="Z29" s="827"/>
      <c r="AA29" s="827"/>
      <c r="AB29" s="827"/>
      <c r="AC29" s="827"/>
      <c r="AD29" s="827"/>
      <c r="AE29" s="827"/>
      <c r="AF29" s="827"/>
      <c r="AG29" s="827"/>
      <c r="AH29" s="827"/>
      <c r="AI29" s="827"/>
      <c r="AJ29" s="827"/>
      <c r="AK29" s="827"/>
      <c r="AL29" s="827"/>
      <c r="AM29" s="827"/>
      <c r="AN29" s="827"/>
      <c r="AO29" s="827"/>
      <c r="AP29" s="827"/>
      <c r="AQ29" s="827"/>
      <c r="AR29" s="827"/>
      <c r="AS29" s="827"/>
      <c r="AT29" s="827"/>
      <c r="AU29" s="827"/>
      <c r="AV29" s="827"/>
      <c r="AW29" s="827"/>
      <c r="AX29" s="827"/>
      <c r="AY29" s="827"/>
      <c r="AZ29" s="827"/>
      <c r="BA29" s="827"/>
      <c r="BB29" s="827"/>
      <c r="BC29" s="827"/>
      <c r="BD29" s="827"/>
      <c r="BE29" s="827"/>
      <c r="BF29" s="827"/>
      <c r="BG29" s="827"/>
      <c r="BH29" s="827"/>
      <c r="BI29" s="827"/>
      <c r="BJ29" s="827"/>
      <c r="BK29" s="827"/>
      <c r="BL29" s="827"/>
      <c r="BM29" s="827"/>
      <c r="BN29" s="827"/>
      <c r="BO29" s="827"/>
      <c r="BP29" s="827"/>
      <c r="BQ29" s="827"/>
      <c r="BR29" s="827"/>
      <c r="BS29" s="827"/>
      <c r="BT29" s="827"/>
      <c r="BU29" s="827"/>
      <c r="BV29" s="827"/>
      <c r="BW29" s="827"/>
      <c r="BX29" s="827"/>
      <c r="BY29" s="827"/>
      <c r="BZ29" s="827"/>
      <c r="CA29" s="827"/>
      <c r="CB29" s="827"/>
      <c r="CC29" s="827"/>
      <c r="CD29" s="827"/>
      <c r="CE29" s="827"/>
      <c r="CF29" s="827"/>
      <c r="CG29" s="827"/>
      <c r="CH29" s="827"/>
      <c r="CI29" s="827"/>
      <c r="CJ29" s="827"/>
      <c r="CK29" s="827"/>
      <c r="CL29" s="827"/>
      <c r="CM29" s="827"/>
      <c r="CN29" s="827"/>
      <c r="CO29" s="827"/>
      <c r="CP29" s="827"/>
      <c r="CQ29" s="827"/>
      <c r="CR29" s="827"/>
      <c r="CS29" s="827"/>
      <c r="CT29" s="827"/>
      <c r="CU29" s="827"/>
      <c r="CV29" s="827"/>
      <c r="CW29" s="827"/>
      <c r="CX29" s="827"/>
      <c r="CY29" s="827"/>
      <c r="CZ29" s="827"/>
      <c r="DA29" s="827"/>
      <c r="DB29" s="827"/>
      <c r="DC29" s="827"/>
      <c r="DD29" s="827"/>
      <c r="DE29" s="827"/>
      <c r="DF29" s="827"/>
      <c r="DG29" s="827"/>
      <c r="DH29" s="827"/>
      <c r="DI29" s="827"/>
      <c r="DJ29" s="827"/>
      <c r="DK29" s="827"/>
      <c r="DL29" s="827"/>
      <c r="DM29" s="827"/>
      <c r="DN29" s="827"/>
      <c r="DO29" s="827"/>
      <c r="DP29" s="827"/>
      <c r="DQ29" s="827"/>
      <c r="DR29" s="827"/>
      <c r="DS29" s="827"/>
      <c r="DT29" s="827"/>
      <c r="DU29" s="827"/>
      <c r="DV29" s="827"/>
      <c r="DW29" s="827"/>
      <c r="DX29" s="827"/>
      <c r="DY29" s="827"/>
      <c r="DZ29" s="827"/>
      <c r="EA29" s="827"/>
      <c r="EB29" s="827"/>
      <c r="EC29" s="827"/>
      <c r="ED29" s="827"/>
      <c r="EE29" s="827"/>
      <c r="EF29" s="827"/>
      <c r="EG29" s="827"/>
      <c r="EH29" s="827"/>
      <c r="EI29" s="827"/>
      <c r="EJ29" s="827"/>
      <c r="EK29" s="827"/>
      <c r="EL29" s="827"/>
      <c r="EM29" s="827"/>
      <c r="EN29" s="827"/>
      <c r="EO29" s="827"/>
      <c r="EP29" s="827"/>
      <c r="EQ29" s="827"/>
      <c r="ER29" s="827"/>
      <c r="ES29" s="827"/>
      <c r="ET29" s="827"/>
      <c r="EU29" s="827"/>
      <c r="EV29" s="827"/>
      <c r="EW29" s="827"/>
      <c r="EX29" s="827"/>
      <c r="EY29" s="827"/>
      <c r="EZ29" s="827"/>
      <c r="FA29" s="827"/>
      <c r="FB29" s="827"/>
      <c r="FC29" s="827"/>
      <c r="FD29" s="827"/>
      <c r="FE29" s="827"/>
      <c r="FF29" s="827"/>
      <c r="FG29" s="827"/>
      <c r="FH29" s="827"/>
      <c r="FI29" s="827"/>
      <c r="FJ29" s="827"/>
      <c r="FK29" s="827"/>
      <c r="FL29" s="827"/>
      <c r="FM29" s="827"/>
      <c r="FN29" s="827"/>
      <c r="FO29" s="827"/>
      <c r="FP29" s="827"/>
      <c r="FQ29" s="827"/>
      <c r="FR29" s="827"/>
      <c r="FS29" s="827"/>
      <c r="FT29" s="827"/>
      <c r="FU29" s="827"/>
      <c r="FV29" s="827"/>
      <c r="FW29" s="827"/>
      <c r="FX29" s="827"/>
      <c r="FY29" s="827"/>
      <c r="FZ29" s="827"/>
      <c r="GA29" s="827"/>
      <c r="GB29" s="827"/>
      <c r="GC29" s="827"/>
      <c r="GD29" s="827"/>
      <c r="GE29" s="827"/>
      <c r="GF29" s="827"/>
      <c r="GG29" s="827"/>
      <c r="GH29" s="827"/>
      <c r="GI29" s="827"/>
      <c r="GJ29" s="827"/>
      <c r="GK29" s="827"/>
      <c r="GL29" s="827"/>
      <c r="GM29" s="827"/>
      <c r="GN29" s="827"/>
      <c r="GO29" s="827"/>
      <c r="GP29" s="827"/>
      <c r="GQ29" s="827">
        <v>0</v>
      </c>
      <c r="GR29" s="827">
        <v>0</v>
      </c>
      <c r="GS29" s="827">
        <v>0</v>
      </c>
      <c r="GT29" s="827"/>
      <c r="GU29" s="827"/>
      <c r="GV29" s="827"/>
      <c r="GW29" s="827"/>
      <c r="GX29" s="827"/>
      <c r="GY29" s="827"/>
      <c r="GZ29" s="827"/>
      <c r="HA29" s="827"/>
      <c r="HB29" s="827"/>
      <c r="HC29" s="827"/>
      <c r="HD29" s="828"/>
      <c r="HE29" s="827"/>
      <c r="HF29" s="827"/>
      <c r="HG29" s="829">
        <v>0</v>
      </c>
    </row>
    <row r="30" spans="1:215" ht="15" customHeight="1" x14ac:dyDescent="0.2">
      <c r="A30" s="463" t="s">
        <v>130</v>
      </c>
      <c r="B30" s="827"/>
      <c r="C30" s="827"/>
      <c r="D30" s="827"/>
      <c r="E30" s="827"/>
      <c r="F30" s="827"/>
      <c r="G30" s="827"/>
      <c r="H30" s="827"/>
      <c r="I30" s="827"/>
      <c r="J30" s="827"/>
      <c r="K30" s="827"/>
      <c r="L30" s="827"/>
      <c r="M30" s="827"/>
      <c r="N30" s="827"/>
      <c r="O30" s="827"/>
      <c r="P30" s="827"/>
      <c r="Q30" s="827"/>
      <c r="R30" s="827"/>
      <c r="S30" s="827"/>
      <c r="T30" s="827"/>
      <c r="U30" s="827"/>
      <c r="V30" s="827"/>
      <c r="W30" s="827"/>
      <c r="X30" s="827"/>
      <c r="Y30" s="827"/>
      <c r="Z30" s="827"/>
      <c r="AA30" s="827"/>
      <c r="AB30" s="827"/>
      <c r="AC30" s="827"/>
      <c r="AD30" s="827"/>
      <c r="AE30" s="827"/>
      <c r="AF30" s="827"/>
      <c r="AG30" s="827"/>
      <c r="AH30" s="827"/>
      <c r="AI30" s="827"/>
      <c r="AJ30" s="827"/>
      <c r="AK30" s="827"/>
      <c r="AL30" s="827"/>
      <c r="AM30" s="827"/>
      <c r="AN30" s="827"/>
      <c r="AO30" s="827"/>
      <c r="AP30" s="827"/>
      <c r="AQ30" s="827"/>
      <c r="AR30" s="827"/>
      <c r="AS30" s="827"/>
      <c r="AT30" s="827"/>
      <c r="AU30" s="827"/>
      <c r="AV30" s="827"/>
      <c r="AW30" s="827"/>
      <c r="AX30" s="827"/>
      <c r="AY30" s="827"/>
      <c r="AZ30" s="827"/>
      <c r="BA30" s="827"/>
      <c r="BB30" s="827"/>
      <c r="BC30" s="827"/>
      <c r="BD30" s="827"/>
      <c r="BE30" s="827"/>
      <c r="BF30" s="827"/>
      <c r="BG30" s="827"/>
      <c r="BH30" s="827"/>
      <c r="BI30" s="827"/>
      <c r="BJ30" s="827"/>
      <c r="BK30" s="827"/>
      <c r="BL30" s="827"/>
      <c r="BM30" s="827"/>
      <c r="BN30" s="827"/>
      <c r="BO30" s="827"/>
      <c r="BP30" s="827"/>
      <c r="BQ30" s="827"/>
      <c r="BR30" s="827"/>
      <c r="BS30" s="827"/>
      <c r="BT30" s="827"/>
      <c r="BU30" s="827"/>
      <c r="BV30" s="827"/>
      <c r="BW30" s="827"/>
      <c r="BX30" s="827"/>
      <c r="BY30" s="827"/>
      <c r="BZ30" s="827"/>
      <c r="CA30" s="827"/>
      <c r="CB30" s="827"/>
      <c r="CC30" s="827"/>
      <c r="CD30" s="827"/>
      <c r="CE30" s="827"/>
      <c r="CF30" s="827"/>
      <c r="CG30" s="827"/>
      <c r="CH30" s="827"/>
      <c r="CI30" s="827"/>
      <c r="CJ30" s="827"/>
      <c r="CK30" s="827"/>
      <c r="CL30" s="827"/>
      <c r="CM30" s="827"/>
      <c r="CN30" s="827"/>
      <c r="CO30" s="827"/>
      <c r="CP30" s="827"/>
      <c r="CQ30" s="827"/>
      <c r="CR30" s="827"/>
      <c r="CS30" s="827"/>
      <c r="CT30" s="827"/>
      <c r="CU30" s="827"/>
      <c r="CV30" s="827"/>
      <c r="CW30" s="827"/>
      <c r="CX30" s="827"/>
      <c r="CY30" s="827"/>
      <c r="CZ30" s="827"/>
      <c r="DA30" s="827"/>
      <c r="DB30" s="827"/>
      <c r="DC30" s="827"/>
      <c r="DD30" s="827"/>
      <c r="DE30" s="827"/>
      <c r="DF30" s="827"/>
      <c r="DG30" s="827"/>
      <c r="DH30" s="827"/>
      <c r="DI30" s="827"/>
      <c r="DJ30" s="827"/>
      <c r="DK30" s="827"/>
      <c r="DL30" s="827"/>
      <c r="DM30" s="827"/>
      <c r="DN30" s="827">
        <v>21.501276256481077</v>
      </c>
      <c r="DO30" s="827">
        <v>21.501276256481077</v>
      </c>
      <c r="DP30" s="827">
        <v>21.501276256481077</v>
      </c>
      <c r="DQ30" s="827"/>
      <c r="DR30" s="827"/>
      <c r="DS30" s="827"/>
      <c r="DT30" s="827"/>
      <c r="DU30" s="827"/>
      <c r="DV30" s="827"/>
      <c r="DW30" s="827"/>
      <c r="DX30" s="827"/>
      <c r="DY30" s="827"/>
      <c r="DZ30" s="827"/>
      <c r="EA30" s="827"/>
      <c r="EB30" s="827"/>
      <c r="EC30" s="827"/>
      <c r="ED30" s="827"/>
      <c r="EE30" s="827"/>
      <c r="EF30" s="827"/>
      <c r="EG30" s="827"/>
      <c r="EH30" s="827"/>
      <c r="EI30" s="827"/>
      <c r="EJ30" s="827"/>
      <c r="EK30" s="827"/>
      <c r="EL30" s="827"/>
      <c r="EM30" s="827"/>
      <c r="EN30" s="827"/>
      <c r="EO30" s="827"/>
      <c r="EP30" s="827"/>
      <c r="EQ30" s="827"/>
      <c r="ER30" s="827"/>
      <c r="ES30" s="827"/>
      <c r="ET30" s="827"/>
      <c r="EU30" s="827"/>
      <c r="EV30" s="827"/>
      <c r="EW30" s="827"/>
      <c r="EX30" s="827"/>
      <c r="EY30" s="827"/>
      <c r="EZ30" s="827"/>
      <c r="FA30" s="827"/>
      <c r="FB30" s="827"/>
      <c r="FC30" s="827"/>
      <c r="FD30" s="827"/>
      <c r="FE30" s="827"/>
      <c r="FF30" s="827"/>
      <c r="FG30" s="827"/>
      <c r="FH30" s="827"/>
      <c r="FI30" s="827"/>
      <c r="FJ30" s="827"/>
      <c r="FK30" s="827"/>
      <c r="FL30" s="827"/>
      <c r="FM30" s="827"/>
      <c r="FN30" s="827"/>
      <c r="FO30" s="827"/>
      <c r="FP30" s="827"/>
      <c r="FQ30" s="827"/>
      <c r="FR30" s="827"/>
      <c r="FS30" s="827"/>
      <c r="FT30" s="827"/>
      <c r="FU30" s="827"/>
      <c r="FV30" s="827"/>
      <c r="FW30" s="827"/>
      <c r="FX30" s="827"/>
      <c r="FY30" s="827"/>
      <c r="FZ30" s="827"/>
      <c r="GA30" s="827"/>
      <c r="GB30" s="827"/>
      <c r="GC30" s="827"/>
      <c r="GD30" s="827"/>
      <c r="GE30" s="827"/>
      <c r="GF30" s="827"/>
      <c r="GG30" s="827"/>
      <c r="GH30" s="827"/>
      <c r="GI30" s="827"/>
      <c r="GJ30" s="827"/>
      <c r="GK30" s="827"/>
      <c r="GL30" s="827"/>
      <c r="GM30" s="827"/>
      <c r="GN30" s="827"/>
      <c r="GO30" s="827"/>
      <c r="GP30" s="827"/>
      <c r="GQ30" s="827"/>
      <c r="GR30" s="827"/>
      <c r="GS30" s="827"/>
      <c r="GT30" s="827"/>
      <c r="GU30" s="827"/>
      <c r="GV30" s="827"/>
      <c r="GW30" s="827"/>
      <c r="GX30" s="827"/>
      <c r="GY30" s="827"/>
      <c r="GZ30" s="827"/>
      <c r="HA30" s="827"/>
      <c r="HB30" s="827"/>
      <c r="HC30" s="827"/>
      <c r="HD30" s="828"/>
      <c r="HE30" s="827"/>
      <c r="HF30" s="827"/>
      <c r="HG30" s="829">
        <v>21.501276256481077</v>
      </c>
    </row>
    <row r="31" spans="1:215" ht="15" customHeight="1" x14ac:dyDescent="0.2">
      <c r="A31" s="463" t="s">
        <v>100</v>
      </c>
      <c r="B31" s="827"/>
      <c r="C31" s="827"/>
      <c r="D31" s="827"/>
      <c r="E31" s="827"/>
      <c r="F31" s="827"/>
      <c r="G31" s="827"/>
      <c r="H31" s="827"/>
      <c r="I31" s="827"/>
      <c r="J31" s="827"/>
      <c r="K31" s="827"/>
      <c r="L31" s="827"/>
      <c r="M31" s="827"/>
      <c r="N31" s="827"/>
      <c r="O31" s="827"/>
      <c r="P31" s="827"/>
      <c r="Q31" s="827"/>
      <c r="R31" s="827"/>
      <c r="S31" s="827"/>
      <c r="T31" s="827"/>
      <c r="U31" s="827"/>
      <c r="V31" s="827"/>
      <c r="W31" s="827">
        <v>0.42499999999999999</v>
      </c>
      <c r="X31" s="827">
        <v>0.42499999999999999</v>
      </c>
      <c r="Y31" s="827">
        <v>0.42499999999999999</v>
      </c>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7"/>
      <c r="AY31" s="827"/>
      <c r="AZ31" s="827"/>
      <c r="BA31" s="827"/>
      <c r="BB31" s="827"/>
      <c r="BC31" s="827"/>
      <c r="BD31" s="827"/>
      <c r="BE31" s="827"/>
      <c r="BF31" s="827"/>
      <c r="BG31" s="827"/>
      <c r="BH31" s="827"/>
      <c r="BI31" s="827"/>
      <c r="BJ31" s="827"/>
      <c r="BK31" s="827"/>
      <c r="BL31" s="827"/>
      <c r="BM31" s="827"/>
      <c r="BN31" s="827"/>
      <c r="BO31" s="827"/>
      <c r="BP31" s="827"/>
      <c r="BQ31" s="827"/>
      <c r="BR31" s="827"/>
      <c r="BS31" s="827"/>
      <c r="BT31" s="827"/>
      <c r="BU31" s="827"/>
      <c r="BV31" s="827"/>
      <c r="BW31" s="827"/>
      <c r="BX31" s="827"/>
      <c r="BY31" s="827"/>
      <c r="BZ31" s="827"/>
      <c r="CA31" s="827"/>
      <c r="CB31" s="827"/>
      <c r="CC31" s="827"/>
      <c r="CD31" s="827"/>
      <c r="CE31" s="827"/>
      <c r="CF31" s="827"/>
      <c r="CG31" s="827"/>
      <c r="CH31" s="827"/>
      <c r="CI31" s="827"/>
      <c r="CJ31" s="827"/>
      <c r="CK31" s="827"/>
      <c r="CL31" s="827"/>
      <c r="CM31" s="827"/>
      <c r="CN31" s="827"/>
      <c r="CO31" s="827"/>
      <c r="CP31" s="827"/>
      <c r="CQ31" s="827"/>
      <c r="CR31" s="827"/>
      <c r="CS31" s="827"/>
      <c r="CT31" s="827"/>
      <c r="CU31" s="827"/>
      <c r="CV31" s="827"/>
      <c r="CW31" s="827"/>
      <c r="CX31" s="827"/>
      <c r="CY31" s="827"/>
      <c r="CZ31" s="827"/>
      <c r="DA31" s="827"/>
      <c r="DB31" s="827"/>
      <c r="DC31" s="827"/>
      <c r="DD31" s="827"/>
      <c r="DE31" s="827"/>
      <c r="DF31" s="827"/>
      <c r="DG31" s="827"/>
      <c r="DH31" s="827"/>
      <c r="DI31" s="827"/>
      <c r="DJ31" s="827"/>
      <c r="DK31" s="827"/>
      <c r="DL31" s="827"/>
      <c r="DM31" s="827"/>
      <c r="DN31" s="827"/>
      <c r="DO31" s="827"/>
      <c r="DP31" s="827"/>
      <c r="DQ31" s="827"/>
      <c r="DR31" s="827"/>
      <c r="DS31" s="827"/>
      <c r="DT31" s="827"/>
      <c r="DU31" s="827"/>
      <c r="DV31" s="827"/>
      <c r="DW31" s="827"/>
      <c r="DX31" s="827"/>
      <c r="DY31" s="827"/>
      <c r="DZ31" s="827"/>
      <c r="EA31" s="827"/>
      <c r="EB31" s="827"/>
      <c r="EC31" s="827"/>
      <c r="ED31" s="827"/>
      <c r="EE31" s="827"/>
      <c r="EF31" s="827"/>
      <c r="EG31" s="827"/>
      <c r="EH31" s="827"/>
      <c r="EI31" s="827"/>
      <c r="EJ31" s="827"/>
      <c r="EK31" s="827"/>
      <c r="EL31" s="827"/>
      <c r="EM31" s="827"/>
      <c r="EN31" s="827"/>
      <c r="EO31" s="827"/>
      <c r="EP31" s="827"/>
      <c r="EQ31" s="827"/>
      <c r="ER31" s="827"/>
      <c r="ES31" s="827"/>
      <c r="ET31" s="827"/>
      <c r="EU31" s="827"/>
      <c r="EV31" s="827"/>
      <c r="EW31" s="827"/>
      <c r="EX31" s="827"/>
      <c r="EY31" s="827"/>
      <c r="EZ31" s="827"/>
      <c r="FA31" s="827"/>
      <c r="FB31" s="827"/>
      <c r="FC31" s="827"/>
      <c r="FD31" s="827"/>
      <c r="FE31" s="827"/>
      <c r="FF31" s="827"/>
      <c r="FG31" s="827"/>
      <c r="FH31" s="827"/>
      <c r="FI31" s="827"/>
      <c r="FJ31" s="827"/>
      <c r="FK31" s="827"/>
      <c r="FL31" s="827"/>
      <c r="FM31" s="827"/>
      <c r="FN31" s="827"/>
      <c r="FO31" s="827"/>
      <c r="FP31" s="827"/>
      <c r="FQ31" s="827"/>
      <c r="FR31" s="827"/>
      <c r="FS31" s="827"/>
      <c r="FT31" s="827"/>
      <c r="FU31" s="827"/>
      <c r="FV31" s="827"/>
      <c r="FW31" s="827"/>
      <c r="FX31" s="827"/>
      <c r="FY31" s="827"/>
      <c r="FZ31" s="827"/>
      <c r="GA31" s="827"/>
      <c r="GB31" s="827"/>
      <c r="GC31" s="827"/>
      <c r="GD31" s="827"/>
      <c r="GE31" s="827"/>
      <c r="GF31" s="827"/>
      <c r="GG31" s="827"/>
      <c r="GH31" s="827"/>
      <c r="GI31" s="827"/>
      <c r="GJ31" s="827"/>
      <c r="GK31" s="827"/>
      <c r="GL31" s="827"/>
      <c r="GM31" s="827"/>
      <c r="GN31" s="827"/>
      <c r="GO31" s="827"/>
      <c r="GP31" s="827"/>
      <c r="GQ31" s="827"/>
      <c r="GR31" s="827"/>
      <c r="GS31" s="827"/>
      <c r="GT31" s="827"/>
      <c r="GU31" s="827"/>
      <c r="GV31" s="827"/>
      <c r="GW31" s="827"/>
      <c r="GX31" s="827"/>
      <c r="GY31" s="827"/>
      <c r="GZ31" s="827"/>
      <c r="HA31" s="827"/>
      <c r="HB31" s="827"/>
      <c r="HC31" s="827"/>
      <c r="HD31" s="828"/>
      <c r="HE31" s="827"/>
      <c r="HF31" s="827"/>
      <c r="HG31" s="829">
        <v>0.42499999999999999</v>
      </c>
    </row>
    <row r="32" spans="1:215" ht="15" customHeight="1" x14ac:dyDescent="0.2">
      <c r="A32" s="463" t="s">
        <v>111</v>
      </c>
      <c r="B32" s="827"/>
      <c r="C32" s="827"/>
      <c r="D32" s="827"/>
      <c r="E32" s="827"/>
      <c r="F32" s="827"/>
      <c r="G32" s="827"/>
      <c r="H32" s="827"/>
      <c r="I32" s="827"/>
      <c r="J32" s="827"/>
      <c r="K32" s="827"/>
      <c r="L32" s="827"/>
      <c r="M32" s="827"/>
      <c r="N32" s="827"/>
      <c r="O32" s="827"/>
      <c r="P32" s="827"/>
      <c r="Q32" s="827"/>
      <c r="R32" s="827"/>
      <c r="S32" s="827"/>
      <c r="T32" s="827"/>
      <c r="U32" s="827"/>
      <c r="V32" s="827"/>
      <c r="W32" s="827"/>
      <c r="X32" s="827"/>
      <c r="Y32" s="827"/>
      <c r="Z32" s="827"/>
      <c r="AA32" s="827"/>
      <c r="AB32" s="827"/>
      <c r="AC32" s="827"/>
      <c r="AD32" s="827"/>
      <c r="AE32" s="827"/>
      <c r="AF32" s="827"/>
      <c r="AG32" s="827"/>
      <c r="AH32" s="827"/>
      <c r="AI32" s="827"/>
      <c r="AJ32" s="827"/>
      <c r="AK32" s="827"/>
      <c r="AL32" s="827"/>
      <c r="AM32" s="827"/>
      <c r="AN32" s="827"/>
      <c r="AO32" s="827"/>
      <c r="AP32" s="827"/>
      <c r="AQ32" s="827"/>
      <c r="AR32" s="827"/>
      <c r="AS32" s="827"/>
      <c r="AT32" s="827"/>
      <c r="AU32" s="827"/>
      <c r="AV32" s="827"/>
      <c r="AW32" s="827"/>
      <c r="AX32" s="827"/>
      <c r="AY32" s="827"/>
      <c r="AZ32" s="827"/>
      <c r="BA32" s="827"/>
      <c r="BB32" s="827"/>
      <c r="BC32" s="827"/>
      <c r="BD32" s="827"/>
      <c r="BE32" s="827"/>
      <c r="BF32" s="827"/>
      <c r="BG32" s="827"/>
      <c r="BH32" s="827"/>
      <c r="BI32" s="827"/>
      <c r="BJ32" s="827"/>
      <c r="BK32" s="827"/>
      <c r="BL32" s="827"/>
      <c r="BM32" s="827"/>
      <c r="BN32" s="827"/>
      <c r="BO32" s="827"/>
      <c r="BP32" s="827"/>
      <c r="BQ32" s="827"/>
      <c r="BR32" s="827"/>
      <c r="BS32" s="827"/>
      <c r="BT32" s="827"/>
      <c r="BU32" s="827"/>
      <c r="BV32" s="827"/>
      <c r="BW32" s="827"/>
      <c r="BX32" s="827"/>
      <c r="BY32" s="827"/>
      <c r="BZ32" s="827"/>
      <c r="CA32" s="827"/>
      <c r="CB32" s="827"/>
      <c r="CC32" s="827"/>
      <c r="CD32" s="827"/>
      <c r="CE32" s="827"/>
      <c r="CF32" s="827"/>
      <c r="CG32" s="827"/>
      <c r="CH32" s="827"/>
      <c r="CI32" s="827"/>
      <c r="CJ32" s="827">
        <v>8.44</v>
      </c>
      <c r="CK32" s="827">
        <v>8.44</v>
      </c>
      <c r="CL32" s="827">
        <v>8.44</v>
      </c>
      <c r="CM32" s="827"/>
      <c r="CN32" s="827"/>
      <c r="CO32" s="827"/>
      <c r="CP32" s="827"/>
      <c r="CQ32" s="827"/>
      <c r="CR32" s="827"/>
      <c r="CS32" s="827"/>
      <c r="CT32" s="827"/>
      <c r="CU32" s="827"/>
      <c r="CV32" s="827"/>
      <c r="CW32" s="827"/>
      <c r="CX32" s="827"/>
      <c r="CY32" s="827"/>
      <c r="CZ32" s="827"/>
      <c r="DA32" s="827"/>
      <c r="DB32" s="827"/>
      <c r="DC32" s="827"/>
      <c r="DD32" s="827"/>
      <c r="DE32" s="827"/>
      <c r="DF32" s="827"/>
      <c r="DG32" s="827"/>
      <c r="DH32" s="827"/>
      <c r="DI32" s="827"/>
      <c r="DJ32" s="827"/>
      <c r="DK32" s="827"/>
      <c r="DL32" s="827"/>
      <c r="DM32" s="827"/>
      <c r="DN32" s="827"/>
      <c r="DO32" s="827"/>
      <c r="DP32" s="827"/>
      <c r="DQ32" s="827"/>
      <c r="DR32" s="827"/>
      <c r="DS32" s="827"/>
      <c r="DT32" s="827"/>
      <c r="DU32" s="827"/>
      <c r="DV32" s="827"/>
      <c r="DW32" s="827"/>
      <c r="DX32" s="827"/>
      <c r="DY32" s="827"/>
      <c r="DZ32" s="827"/>
      <c r="EA32" s="827"/>
      <c r="EB32" s="827"/>
      <c r="EC32" s="827"/>
      <c r="ED32" s="827"/>
      <c r="EE32" s="827"/>
      <c r="EF32" s="827"/>
      <c r="EG32" s="827"/>
      <c r="EH32" s="827"/>
      <c r="EI32" s="827"/>
      <c r="EJ32" s="827"/>
      <c r="EK32" s="827"/>
      <c r="EL32" s="827"/>
      <c r="EM32" s="827"/>
      <c r="EN32" s="827"/>
      <c r="EO32" s="827"/>
      <c r="EP32" s="827"/>
      <c r="EQ32" s="827"/>
      <c r="ER32" s="827"/>
      <c r="ES32" s="827"/>
      <c r="ET32" s="827"/>
      <c r="EU32" s="827"/>
      <c r="EV32" s="827"/>
      <c r="EW32" s="827"/>
      <c r="EX32" s="827"/>
      <c r="EY32" s="827"/>
      <c r="EZ32" s="827"/>
      <c r="FA32" s="827"/>
      <c r="FB32" s="827"/>
      <c r="FC32" s="827"/>
      <c r="FD32" s="827"/>
      <c r="FE32" s="827"/>
      <c r="FF32" s="827"/>
      <c r="FG32" s="827"/>
      <c r="FH32" s="827"/>
      <c r="FI32" s="827"/>
      <c r="FJ32" s="827"/>
      <c r="FK32" s="827"/>
      <c r="FL32" s="827"/>
      <c r="FM32" s="827"/>
      <c r="FN32" s="827"/>
      <c r="FO32" s="827"/>
      <c r="FP32" s="827"/>
      <c r="FQ32" s="827"/>
      <c r="FR32" s="827"/>
      <c r="FS32" s="827"/>
      <c r="FT32" s="827"/>
      <c r="FU32" s="827"/>
      <c r="FV32" s="827"/>
      <c r="FW32" s="827"/>
      <c r="FX32" s="827"/>
      <c r="FY32" s="827"/>
      <c r="FZ32" s="827"/>
      <c r="GA32" s="827"/>
      <c r="GB32" s="827"/>
      <c r="GC32" s="827"/>
      <c r="GD32" s="827"/>
      <c r="GE32" s="827"/>
      <c r="GF32" s="827"/>
      <c r="GG32" s="827"/>
      <c r="GH32" s="827"/>
      <c r="GI32" s="827"/>
      <c r="GJ32" s="827"/>
      <c r="GK32" s="827"/>
      <c r="GL32" s="827"/>
      <c r="GM32" s="827"/>
      <c r="GN32" s="827"/>
      <c r="GO32" s="827"/>
      <c r="GP32" s="827"/>
      <c r="GQ32" s="827"/>
      <c r="GR32" s="827"/>
      <c r="GS32" s="827"/>
      <c r="GT32" s="827"/>
      <c r="GU32" s="827"/>
      <c r="GV32" s="827"/>
      <c r="GW32" s="827"/>
      <c r="GX32" s="827"/>
      <c r="GY32" s="827"/>
      <c r="GZ32" s="827"/>
      <c r="HA32" s="827"/>
      <c r="HB32" s="827"/>
      <c r="HC32" s="827"/>
      <c r="HD32" s="828"/>
      <c r="HE32" s="827"/>
      <c r="HF32" s="827"/>
      <c r="HG32" s="829">
        <v>8.44</v>
      </c>
    </row>
    <row r="33" spans="1:215" ht="15" customHeight="1" x14ac:dyDescent="0.2">
      <c r="A33" s="463" t="s">
        <v>43</v>
      </c>
      <c r="B33" s="827"/>
      <c r="C33" s="827"/>
      <c r="D33" s="827"/>
      <c r="E33" s="827"/>
      <c r="F33" s="827"/>
      <c r="G33" s="827"/>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827"/>
      <c r="AL33" s="827"/>
      <c r="AM33" s="827"/>
      <c r="AN33" s="827"/>
      <c r="AO33" s="827"/>
      <c r="AP33" s="827"/>
      <c r="AQ33" s="827"/>
      <c r="AR33" s="827"/>
      <c r="AS33" s="827"/>
      <c r="AT33" s="827"/>
      <c r="AU33" s="827"/>
      <c r="AV33" s="827"/>
      <c r="AW33" s="827"/>
      <c r="AX33" s="827"/>
      <c r="AY33" s="827"/>
      <c r="AZ33" s="827"/>
      <c r="BA33" s="827"/>
      <c r="BB33" s="827"/>
      <c r="BC33" s="827"/>
      <c r="BD33" s="827"/>
      <c r="BE33" s="827"/>
      <c r="BF33" s="827"/>
      <c r="BG33" s="827"/>
      <c r="BH33" s="827"/>
      <c r="BI33" s="827"/>
      <c r="BJ33" s="827"/>
      <c r="BK33" s="827"/>
      <c r="BL33" s="827"/>
      <c r="BM33" s="827"/>
      <c r="BN33" s="827"/>
      <c r="BO33" s="827"/>
      <c r="BP33" s="827"/>
      <c r="BQ33" s="827"/>
      <c r="BR33" s="827"/>
      <c r="BS33" s="827"/>
      <c r="BT33" s="827"/>
      <c r="BU33" s="827"/>
      <c r="BV33" s="827"/>
      <c r="BW33" s="827"/>
      <c r="BX33" s="827"/>
      <c r="BY33" s="827"/>
      <c r="BZ33" s="827"/>
      <c r="CA33" s="827"/>
      <c r="CB33" s="827"/>
      <c r="CC33" s="827"/>
      <c r="CD33" s="827"/>
      <c r="CE33" s="827"/>
      <c r="CF33" s="827"/>
      <c r="CG33" s="827"/>
      <c r="CH33" s="827"/>
      <c r="CI33" s="827"/>
      <c r="CJ33" s="827"/>
      <c r="CK33" s="827"/>
      <c r="CL33" s="827"/>
      <c r="CM33" s="827"/>
      <c r="CN33" s="827"/>
      <c r="CO33" s="827"/>
      <c r="CP33" s="827"/>
      <c r="CQ33" s="827"/>
      <c r="CR33" s="827"/>
      <c r="CS33" s="827"/>
      <c r="CT33" s="827"/>
      <c r="CU33" s="827"/>
      <c r="CV33" s="827"/>
      <c r="CW33" s="827"/>
      <c r="CX33" s="827"/>
      <c r="CY33" s="827"/>
      <c r="CZ33" s="827"/>
      <c r="DA33" s="827"/>
      <c r="DB33" s="827"/>
      <c r="DC33" s="827"/>
      <c r="DD33" s="827"/>
      <c r="DE33" s="827"/>
      <c r="DF33" s="827"/>
      <c r="DG33" s="827"/>
      <c r="DH33" s="827"/>
      <c r="DI33" s="827"/>
      <c r="DJ33" s="827"/>
      <c r="DK33" s="827"/>
      <c r="DL33" s="827"/>
      <c r="DM33" s="827"/>
      <c r="DN33" s="827"/>
      <c r="DO33" s="827"/>
      <c r="DP33" s="827"/>
      <c r="DQ33" s="827"/>
      <c r="DR33" s="827"/>
      <c r="DS33" s="827"/>
      <c r="DT33" s="827"/>
      <c r="DU33" s="827"/>
      <c r="DV33" s="827"/>
      <c r="DW33" s="827"/>
      <c r="DX33" s="827"/>
      <c r="DY33" s="827"/>
      <c r="DZ33" s="827"/>
      <c r="EA33" s="827"/>
      <c r="EB33" s="827"/>
      <c r="EC33" s="827"/>
      <c r="ED33" s="827"/>
      <c r="EE33" s="827"/>
      <c r="EF33" s="827"/>
      <c r="EG33" s="827"/>
      <c r="EH33" s="827"/>
      <c r="EI33" s="827"/>
      <c r="EJ33" s="827"/>
      <c r="EK33" s="827"/>
      <c r="EL33" s="827"/>
      <c r="EM33" s="827"/>
      <c r="EN33" s="827"/>
      <c r="EO33" s="827"/>
      <c r="EP33" s="827"/>
      <c r="EQ33" s="827"/>
      <c r="ER33" s="827"/>
      <c r="ES33" s="827"/>
      <c r="ET33" s="827"/>
      <c r="EU33" s="827"/>
      <c r="EV33" s="827"/>
      <c r="EW33" s="827"/>
      <c r="EX33" s="827"/>
      <c r="EY33" s="827"/>
      <c r="EZ33" s="827"/>
      <c r="FA33" s="827"/>
      <c r="FB33" s="827"/>
      <c r="FC33" s="827"/>
      <c r="FD33" s="827"/>
      <c r="FE33" s="827"/>
      <c r="FF33" s="827"/>
      <c r="FG33" s="827"/>
      <c r="FH33" s="827"/>
      <c r="FI33" s="827"/>
      <c r="FJ33" s="827">
        <v>698.45646286600777</v>
      </c>
      <c r="FK33" s="827">
        <v>698.45646286600777</v>
      </c>
      <c r="FL33" s="827">
        <v>698.45646286600777</v>
      </c>
      <c r="FM33" s="827"/>
      <c r="FN33" s="827"/>
      <c r="FO33" s="827"/>
      <c r="FP33" s="827"/>
      <c r="FQ33" s="827"/>
      <c r="FR33" s="827"/>
      <c r="FS33" s="827"/>
      <c r="FT33" s="827"/>
      <c r="FU33" s="827"/>
      <c r="FV33" s="827"/>
      <c r="FW33" s="827"/>
      <c r="FX33" s="827"/>
      <c r="FY33" s="827"/>
      <c r="FZ33" s="827"/>
      <c r="GA33" s="827"/>
      <c r="GB33" s="827"/>
      <c r="GC33" s="827"/>
      <c r="GD33" s="827"/>
      <c r="GE33" s="827"/>
      <c r="GF33" s="827"/>
      <c r="GG33" s="827"/>
      <c r="GH33" s="827"/>
      <c r="GI33" s="827"/>
      <c r="GJ33" s="827"/>
      <c r="GK33" s="827"/>
      <c r="GL33" s="827"/>
      <c r="GM33" s="827"/>
      <c r="GN33" s="827"/>
      <c r="GO33" s="827"/>
      <c r="GP33" s="827"/>
      <c r="GQ33" s="827"/>
      <c r="GR33" s="827"/>
      <c r="GS33" s="827"/>
      <c r="GT33" s="827"/>
      <c r="GU33" s="827"/>
      <c r="GV33" s="827"/>
      <c r="GW33" s="827"/>
      <c r="GX33" s="827"/>
      <c r="GY33" s="827"/>
      <c r="GZ33" s="827"/>
      <c r="HA33" s="827"/>
      <c r="HB33" s="827"/>
      <c r="HC33" s="827"/>
      <c r="HD33" s="828"/>
      <c r="HE33" s="827"/>
      <c r="HF33" s="827"/>
      <c r="HG33" s="829">
        <v>698.45646286600777</v>
      </c>
    </row>
    <row r="34" spans="1:215" ht="15" customHeight="1" x14ac:dyDescent="0.2">
      <c r="A34" s="463" t="s">
        <v>39</v>
      </c>
      <c r="B34" s="827"/>
      <c r="C34" s="827"/>
      <c r="D34" s="827"/>
      <c r="E34" s="827"/>
      <c r="F34" s="827"/>
      <c r="G34" s="827"/>
      <c r="H34" s="827"/>
      <c r="I34" s="827"/>
      <c r="J34" s="827"/>
      <c r="K34" s="827"/>
      <c r="L34" s="827"/>
      <c r="M34" s="827"/>
      <c r="N34" s="827"/>
      <c r="O34" s="827"/>
      <c r="P34" s="827"/>
      <c r="Q34" s="827"/>
      <c r="R34" s="827"/>
      <c r="S34" s="827"/>
      <c r="T34" s="827"/>
      <c r="U34" s="827"/>
      <c r="V34" s="827"/>
      <c r="W34" s="827"/>
      <c r="X34" s="827"/>
      <c r="Y34" s="827"/>
      <c r="Z34" s="827"/>
      <c r="AA34" s="827"/>
      <c r="AB34" s="827"/>
      <c r="AC34" s="827"/>
      <c r="AD34" s="827"/>
      <c r="AE34" s="827"/>
      <c r="AF34" s="827"/>
      <c r="AG34" s="827"/>
      <c r="AH34" s="827"/>
      <c r="AI34" s="827"/>
      <c r="AJ34" s="827"/>
      <c r="AK34" s="827"/>
      <c r="AL34" s="827"/>
      <c r="AM34" s="827"/>
      <c r="AN34" s="827"/>
      <c r="AO34" s="827"/>
      <c r="AP34" s="827"/>
      <c r="AQ34" s="827"/>
      <c r="AR34" s="827"/>
      <c r="AS34" s="827"/>
      <c r="AT34" s="827"/>
      <c r="AU34" s="827"/>
      <c r="AV34" s="827"/>
      <c r="AW34" s="827"/>
      <c r="AX34" s="827"/>
      <c r="AY34" s="827"/>
      <c r="AZ34" s="827"/>
      <c r="BA34" s="827"/>
      <c r="BB34" s="827"/>
      <c r="BC34" s="827"/>
      <c r="BD34" s="827"/>
      <c r="BE34" s="827"/>
      <c r="BF34" s="827"/>
      <c r="BG34" s="827"/>
      <c r="BH34" s="827"/>
      <c r="BI34" s="827"/>
      <c r="BJ34" s="827"/>
      <c r="BK34" s="827"/>
      <c r="BL34" s="827"/>
      <c r="BM34" s="827"/>
      <c r="BN34" s="827"/>
      <c r="BO34" s="827"/>
      <c r="BP34" s="827"/>
      <c r="BQ34" s="827"/>
      <c r="BR34" s="827"/>
      <c r="BS34" s="827"/>
      <c r="BT34" s="827"/>
      <c r="BU34" s="827"/>
      <c r="BV34" s="827"/>
      <c r="BW34" s="827"/>
      <c r="BX34" s="827"/>
      <c r="BY34" s="827"/>
      <c r="BZ34" s="827"/>
      <c r="CA34" s="827"/>
      <c r="CB34" s="827"/>
      <c r="CC34" s="827"/>
      <c r="CD34" s="827"/>
      <c r="CE34" s="827"/>
      <c r="CF34" s="827"/>
      <c r="CG34" s="827"/>
      <c r="CH34" s="827"/>
      <c r="CI34" s="827"/>
      <c r="CJ34" s="827"/>
      <c r="CK34" s="827"/>
      <c r="CL34" s="827"/>
      <c r="CM34" s="827"/>
      <c r="CN34" s="827"/>
      <c r="CO34" s="827"/>
      <c r="CP34" s="827"/>
      <c r="CQ34" s="827"/>
      <c r="CR34" s="827"/>
      <c r="CS34" s="827"/>
      <c r="CT34" s="827"/>
      <c r="CU34" s="827"/>
      <c r="CV34" s="827"/>
      <c r="CW34" s="827"/>
      <c r="CX34" s="827"/>
      <c r="CY34" s="827"/>
      <c r="CZ34" s="827"/>
      <c r="DA34" s="827"/>
      <c r="DB34" s="827"/>
      <c r="DC34" s="827"/>
      <c r="DD34" s="827"/>
      <c r="DE34" s="827"/>
      <c r="DF34" s="827"/>
      <c r="DG34" s="827"/>
      <c r="DH34" s="827"/>
      <c r="DI34" s="827"/>
      <c r="DJ34" s="827"/>
      <c r="DK34" s="827"/>
      <c r="DL34" s="827"/>
      <c r="DM34" s="827"/>
      <c r="DN34" s="827"/>
      <c r="DO34" s="827"/>
      <c r="DP34" s="827"/>
      <c r="DQ34" s="827"/>
      <c r="DR34" s="827"/>
      <c r="DS34" s="827"/>
      <c r="DT34" s="827"/>
      <c r="DU34" s="827"/>
      <c r="DV34" s="827"/>
      <c r="DW34" s="827"/>
      <c r="DX34" s="827"/>
      <c r="DY34" s="827"/>
      <c r="DZ34" s="827"/>
      <c r="EA34" s="827"/>
      <c r="EB34" s="827"/>
      <c r="EC34" s="827"/>
      <c r="ED34" s="827"/>
      <c r="EE34" s="827"/>
      <c r="EF34" s="827"/>
      <c r="EG34" s="827"/>
      <c r="EH34" s="827"/>
      <c r="EI34" s="827"/>
      <c r="EJ34" s="827"/>
      <c r="EK34" s="827"/>
      <c r="EL34" s="827"/>
      <c r="EM34" s="827"/>
      <c r="EN34" s="827"/>
      <c r="EO34" s="827"/>
      <c r="EP34" s="827"/>
      <c r="EQ34" s="827"/>
      <c r="ER34" s="827"/>
      <c r="ES34" s="827"/>
      <c r="ET34" s="827"/>
      <c r="EU34" s="827"/>
      <c r="EV34" s="827"/>
      <c r="EW34" s="827"/>
      <c r="EX34" s="827"/>
      <c r="EY34" s="827"/>
      <c r="EZ34" s="827"/>
      <c r="FA34" s="827"/>
      <c r="FB34" s="827"/>
      <c r="FC34" s="827"/>
      <c r="FD34" s="827"/>
      <c r="FE34" s="827"/>
      <c r="FF34" s="827"/>
      <c r="FG34" s="827"/>
      <c r="FH34" s="827"/>
      <c r="FI34" s="827"/>
      <c r="FJ34" s="827"/>
      <c r="FK34" s="827"/>
      <c r="FL34" s="827"/>
      <c r="FM34" s="827"/>
      <c r="FN34" s="827"/>
      <c r="FO34" s="827"/>
      <c r="FP34" s="827"/>
      <c r="FQ34" s="827"/>
      <c r="FR34" s="827"/>
      <c r="FS34" s="827"/>
      <c r="FT34" s="827"/>
      <c r="FU34" s="827"/>
      <c r="FV34" s="827"/>
      <c r="FW34" s="827"/>
      <c r="FX34" s="827"/>
      <c r="FY34" s="827"/>
      <c r="FZ34" s="827"/>
      <c r="GA34" s="827"/>
      <c r="GB34" s="827"/>
      <c r="GC34" s="827"/>
      <c r="GD34" s="827"/>
      <c r="GE34" s="827"/>
      <c r="GF34" s="827"/>
      <c r="GG34" s="827"/>
      <c r="GH34" s="827"/>
      <c r="GI34" s="827"/>
      <c r="GJ34" s="827"/>
      <c r="GK34" s="827"/>
      <c r="GL34" s="827"/>
      <c r="GM34" s="827"/>
      <c r="GN34" s="827"/>
      <c r="GO34" s="827"/>
      <c r="GP34" s="827"/>
      <c r="GQ34" s="827"/>
      <c r="GR34" s="827"/>
      <c r="GS34" s="827"/>
      <c r="GT34" s="827">
        <v>0</v>
      </c>
      <c r="GU34" s="827">
        <v>0</v>
      </c>
      <c r="GV34" s="827">
        <v>0</v>
      </c>
      <c r="GW34" s="827"/>
      <c r="GX34" s="827"/>
      <c r="GY34" s="827"/>
      <c r="GZ34" s="827"/>
      <c r="HA34" s="827"/>
      <c r="HB34" s="827"/>
      <c r="HC34" s="827"/>
      <c r="HD34" s="828"/>
      <c r="HE34" s="827"/>
      <c r="HF34" s="827"/>
      <c r="HG34" s="829">
        <v>0</v>
      </c>
    </row>
    <row r="35" spans="1:215" ht="15" customHeight="1" x14ac:dyDescent="0.2">
      <c r="A35" s="463" t="s">
        <v>132</v>
      </c>
      <c r="B35" s="827"/>
      <c r="C35" s="827"/>
      <c r="D35" s="827"/>
      <c r="E35" s="827"/>
      <c r="F35" s="827"/>
      <c r="G35" s="827"/>
      <c r="H35" s="827"/>
      <c r="I35" s="827"/>
      <c r="J35" s="827"/>
      <c r="K35" s="827"/>
      <c r="L35" s="827"/>
      <c r="M35" s="827"/>
      <c r="N35" s="827"/>
      <c r="O35" s="827"/>
      <c r="P35" s="827"/>
      <c r="Q35" s="827"/>
      <c r="R35" s="827"/>
      <c r="S35" s="827"/>
      <c r="T35" s="827"/>
      <c r="U35" s="827"/>
      <c r="V35" s="827"/>
      <c r="W35" s="827"/>
      <c r="X35" s="827"/>
      <c r="Y35" s="827"/>
      <c r="Z35" s="827"/>
      <c r="AA35" s="827"/>
      <c r="AB35" s="827"/>
      <c r="AC35" s="827"/>
      <c r="AD35" s="827"/>
      <c r="AE35" s="827"/>
      <c r="AF35" s="827"/>
      <c r="AG35" s="827"/>
      <c r="AH35" s="827"/>
      <c r="AI35" s="827"/>
      <c r="AJ35" s="827"/>
      <c r="AK35" s="827"/>
      <c r="AL35" s="827"/>
      <c r="AM35" s="827"/>
      <c r="AN35" s="827"/>
      <c r="AO35" s="827"/>
      <c r="AP35" s="827"/>
      <c r="AQ35" s="827"/>
      <c r="AR35" s="827"/>
      <c r="AS35" s="827"/>
      <c r="AT35" s="827"/>
      <c r="AU35" s="827"/>
      <c r="AV35" s="827"/>
      <c r="AW35" s="827"/>
      <c r="AX35" s="827"/>
      <c r="AY35" s="827"/>
      <c r="AZ35" s="827"/>
      <c r="BA35" s="827"/>
      <c r="BB35" s="827"/>
      <c r="BC35" s="827"/>
      <c r="BD35" s="827"/>
      <c r="BE35" s="827"/>
      <c r="BF35" s="827"/>
      <c r="BG35" s="827"/>
      <c r="BH35" s="827"/>
      <c r="BI35" s="827"/>
      <c r="BJ35" s="827"/>
      <c r="BK35" s="827"/>
      <c r="BL35" s="827"/>
      <c r="BM35" s="827"/>
      <c r="BN35" s="827"/>
      <c r="BO35" s="827"/>
      <c r="BP35" s="827"/>
      <c r="BQ35" s="827"/>
      <c r="BR35" s="827"/>
      <c r="BS35" s="827"/>
      <c r="BT35" s="827"/>
      <c r="BU35" s="827"/>
      <c r="BV35" s="827"/>
      <c r="BW35" s="827"/>
      <c r="BX35" s="827"/>
      <c r="BY35" s="827"/>
      <c r="BZ35" s="827"/>
      <c r="CA35" s="827"/>
      <c r="CB35" s="827"/>
      <c r="CC35" s="827"/>
      <c r="CD35" s="827"/>
      <c r="CE35" s="827"/>
      <c r="CF35" s="827"/>
      <c r="CG35" s="827"/>
      <c r="CH35" s="827"/>
      <c r="CI35" s="827"/>
      <c r="CJ35" s="827"/>
      <c r="CK35" s="827"/>
      <c r="CL35" s="827"/>
      <c r="CM35" s="827"/>
      <c r="CN35" s="827"/>
      <c r="CO35" s="827"/>
      <c r="CP35" s="827"/>
      <c r="CQ35" s="827"/>
      <c r="CR35" s="827"/>
      <c r="CS35" s="827"/>
      <c r="CT35" s="827"/>
      <c r="CU35" s="827"/>
      <c r="CV35" s="827"/>
      <c r="CW35" s="827"/>
      <c r="CX35" s="827"/>
      <c r="CY35" s="827"/>
      <c r="CZ35" s="827"/>
      <c r="DA35" s="827"/>
      <c r="DB35" s="827"/>
      <c r="DC35" s="827"/>
      <c r="DD35" s="827"/>
      <c r="DE35" s="827"/>
      <c r="DF35" s="827"/>
      <c r="DG35" s="827"/>
      <c r="DH35" s="827"/>
      <c r="DI35" s="827"/>
      <c r="DJ35" s="827"/>
      <c r="DK35" s="827">
        <v>19.657276256481076</v>
      </c>
      <c r="DL35" s="827">
        <v>19.657276256481076</v>
      </c>
      <c r="DM35" s="827">
        <v>19.657276256481076</v>
      </c>
      <c r="DN35" s="827"/>
      <c r="DO35" s="827"/>
      <c r="DP35" s="827"/>
      <c r="DQ35" s="827"/>
      <c r="DR35" s="827"/>
      <c r="DS35" s="827"/>
      <c r="DT35" s="827"/>
      <c r="DU35" s="827"/>
      <c r="DV35" s="827"/>
      <c r="DW35" s="827"/>
      <c r="DX35" s="827"/>
      <c r="DY35" s="827"/>
      <c r="DZ35" s="827"/>
      <c r="EA35" s="827"/>
      <c r="EB35" s="827"/>
      <c r="EC35" s="827"/>
      <c r="ED35" s="827"/>
      <c r="EE35" s="827"/>
      <c r="EF35" s="827"/>
      <c r="EG35" s="827"/>
      <c r="EH35" s="827"/>
      <c r="EI35" s="827"/>
      <c r="EJ35" s="827"/>
      <c r="EK35" s="827"/>
      <c r="EL35" s="827"/>
      <c r="EM35" s="827"/>
      <c r="EN35" s="827"/>
      <c r="EO35" s="827"/>
      <c r="EP35" s="827"/>
      <c r="EQ35" s="827"/>
      <c r="ER35" s="827"/>
      <c r="ES35" s="827"/>
      <c r="ET35" s="827"/>
      <c r="EU35" s="827"/>
      <c r="EV35" s="827"/>
      <c r="EW35" s="827"/>
      <c r="EX35" s="827"/>
      <c r="EY35" s="827"/>
      <c r="EZ35" s="827"/>
      <c r="FA35" s="827"/>
      <c r="FB35" s="827"/>
      <c r="FC35" s="827"/>
      <c r="FD35" s="827"/>
      <c r="FE35" s="827"/>
      <c r="FF35" s="827"/>
      <c r="FG35" s="827"/>
      <c r="FH35" s="827"/>
      <c r="FI35" s="827"/>
      <c r="FJ35" s="827"/>
      <c r="FK35" s="827"/>
      <c r="FL35" s="827"/>
      <c r="FM35" s="827"/>
      <c r="FN35" s="827"/>
      <c r="FO35" s="827"/>
      <c r="FP35" s="827"/>
      <c r="FQ35" s="827"/>
      <c r="FR35" s="827"/>
      <c r="FS35" s="827"/>
      <c r="FT35" s="827"/>
      <c r="FU35" s="827"/>
      <c r="FV35" s="827"/>
      <c r="FW35" s="827"/>
      <c r="FX35" s="827"/>
      <c r="FY35" s="827"/>
      <c r="FZ35" s="827"/>
      <c r="GA35" s="827"/>
      <c r="GB35" s="827"/>
      <c r="GC35" s="827"/>
      <c r="GD35" s="827"/>
      <c r="GE35" s="827"/>
      <c r="GF35" s="827"/>
      <c r="GG35" s="827"/>
      <c r="GH35" s="827"/>
      <c r="GI35" s="827"/>
      <c r="GJ35" s="827"/>
      <c r="GK35" s="827"/>
      <c r="GL35" s="827"/>
      <c r="GM35" s="827"/>
      <c r="GN35" s="827"/>
      <c r="GO35" s="827"/>
      <c r="GP35" s="827"/>
      <c r="GQ35" s="827"/>
      <c r="GR35" s="827"/>
      <c r="GS35" s="827"/>
      <c r="GT35" s="827"/>
      <c r="GU35" s="827"/>
      <c r="GV35" s="827"/>
      <c r="GW35" s="827"/>
      <c r="GX35" s="827"/>
      <c r="GY35" s="827"/>
      <c r="GZ35" s="827"/>
      <c r="HA35" s="827"/>
      <c r="HB35" s="827"/>
      <c r="HC35" s="827"/>
      <c r="HD35" s="828"/>
      <c r="HE35" s="827"/>
      <c r="HF35" s="827"/>
      <c r="HG35" s="829">
        <v>19.657276256481076</v>
      </c>
    </row>
    <row r="36" spans="1:215" ht="15" customHeight="1" x14ac:dyDescent="0.2">
      <c r="A36" s="463" t="s">
        <v>102</v>
      </c>
      <c r="B36" s="827"/>
      <c r="C36" s="827"/>
      <c r="D36" s="827"/>
      <c r="E36" s="827"/>
      <c r="F36" s="827"/>
      <c r="G36" s="827"/>
      <c r="H36" s="827"/>
      <c r="I36" s="827"/>
      <c r="J36" s="827"/>
      <c r="K36" s="827"/>
      <c r="L36" s="827"/>
      <c r="M36" s="827"/>
      <c r="N36" s="827"/>
      <c r="O36" s="827"/>
      <c r="P36" s="827"/>
      <c r="Q36" s="827"/>
      <c r="R36" s="827"/>
      <c r="S36" s="827"/>
      <c r="T36" s="827"/>
      <c r="U36" s="827"/>
      <c r="V36" s="827"/>
      <c r="W36" s="827">
        <v>0.42499999999999999</v>
      </c>
      <c r="X36" s="827">
        <v>0.42499999999999999</v>
      </c>
      <c r="Y36" s="827">
        <v>0.42499999999999999</v>
      </c>
      <c r="Z36" s="827"/>
      <c r="AA36" s="827"/>
      <c r="AB36" s="827"/>
      <c r="AC36" s="827"/>
      <c r="AD36" s="827"/>
      <c r="AE36" s="827"/>
      <c r="AF36" s="827"/>
      <c r="AG36" s="827"/>
      <c r="AH36" s="827"/>
      <c r="AI36" s="827"/>
      <c r="AJ36" s="827"/>
      <c r="AK36" s="827"/>
      <c r="AL36" s="827"/>
      <c r="AM36" s="827"/>
      <c r="AN36" s="827"/>
      <c r="AO36" s="827"/>
      <c r="AP36" s="827"/>
      <c r="AQ36" s="827"/>
      <c r="AR36" s="827"/>
      <c r="AS36" s="827"/>
      <c r="AT36" s="827"/>
      <c r="AU36" s="827"/>
      <c r="AV36" s="827"/>
      <c r="AW36" s="827"/>
      <c r="AX36" s="827"/>
      <c r="AY36" s="827"/>
      <c r="AZ36" s="827"/>
      <c r="BA36" s="827"/>
      <c r="BB36" s="827"/>
      <c r="BC36" s="827"/>
      <c r="BD36" s="827"/>
      <c r="BE36" s="827"/>
      <c r="BF36" s="827"/>
      <c r="BG36" s="827"/>
      <c r="BH36" s="827"/>
      <c r="BI36" s="827"/>
      <c r="BJ36" s="827"/>
      <c r="BK36" s="827"/>
      <c r="BL36" s="827"/>
      <c r="BM36" s="827"/>
      <c r="BN36" s="827"/>
      <c r="BO36" s="827"/>
      <c r="BP36" s="827"/>
      <c r="BQ36" s="827"/>
      <c r="BR36" s="827"/>
      <c r="BS36" s="827"/>
      <c r="BT36" s="827"/>
      <c r="BU36" s="827"/>
      <c r="BV36" s="827"/>
      <c r="BW36" s="827"/>
      <c r="BX36" s="827"/>
      <c r="BY36" s="827"/>
      <c r="BZ36" s="827"/>
      <c r="CA36" s="827"/>
      <c r="CB36" s="827"/>
      <c r="CC36" s="827"/>
      <c r="CD36" s="827"/>
      <c r="CE36" s="827"/>
      <c r="CF36" s="827"/>
      <c r="CG36" s="827"/>
      <c r="CH36" s="827"/>
      <c r="CI36" s="827"/>
      <c r="CJ36" s="827"/>
      <c r="CK36" s="827"/>
      <c r="CL36" s="827"/>
      <c r="CM36" s="827"/>
      <c r="CN36" s="827"/>
      <c r="CO36" s="827"/>
      <c r="CP36" s="827"/>
      <c r="CQ36" s="827"/>
      <c r="CR36" s="827"/>
      <c r="CS36" s="827"/>
      <c r="CT36" s="827"/>
      <c r="CU36" s="827"/>
      <c r="CV36" s="827"/>
      <c r="CW36" s="827"/>
      <c r="CX36" s="827"/>
      <c r="CY36" s="827"/>
      <c r="CZ36" s="827"/>
      <c r="DA36" s="827"/>
      <c r="DB36" s="827"/>
      <c r="DC36" s="827"/>
      <c r="DD36" s="827"/>
      <c r="DE36" s="827"/>
      <c r="DF36" s="827"/>
      <c r="DG36" s="827"/>
      <c r="DH36" s="827"/>
      <c r="DI36" s="827"/>
      <c r="DJ36" s="827"/>
      <c r="DK36" s="827"/>
      <c r="DL36" s="827"/>
      <c r="DM36" s="827"/>
      <c r="DN36" s="827"/>
      <c r="DO36" s="827"/>
      <c r="DP36" s="827"/>
      <c r="DQ36" s="827"/>
      <c r="DR36" s="827"/>
      <c r="DS36" s="827"/>
      <c r="DT36" s="827"/>
      <c r="DU36" s="827"/>
      <c r="DV36" s="827"/>
      <c r="DW36" s="827"/>
      <c r="DX36" s="827"/>
      <c r="DY36" s="827"/>
      <c r="DZ36" s="827"/>
      <c r="EA36" s="827"/>
      <c r="EB36" s="827"/>
      <c r="EC36" s="827"/>
      <c r="ED36" s="827"/>
      <c r="EE36" s="827"/>
      <c r="EF36" s="827"/>
      <c r="EG36" s="827"/>
      <c r="EH36" s="827"/>
      <c r="EI36" s="827"/>
      <c r="EJ36" s="827"/>
      <c r="EK36" s="827"/>
      <c r="EL36" s="827"/>
      <c r="EM36" s="827"/>
      <c r="EN36" s="827"/>
      <c r="EO36" s="827"/>
      <c r="EP36" s="827"/>
      <c r="EQ36" s="827"/>
      <c r="ER36" s="827"/>
      <c r="ES36" s="827"/>
      <c r="ET36" s="827"/>
      <c r="EU36" s="827"/>
      <c r="EV36" s="827"/>
      <c r="EW36" s="827"/>
      <c r="EX36" s="827"/>
      <c r="EY36" s="827"/>
      <c r="EZ36" s="827"/>
      <c r="FA36" s="827"/>
      <c r="FB36" s="827"/>
      <c r="FC36" s="827"/>
      <c r="FD36" s="827"/>
      <c r="FE36" s="827"/>
      <c r="FF36" s="827"/>
      <c r="FG36" s="827"/>
      <c r="FH36" s="827"/>
      <c r="FI36" s="827"/>
      <c r="FJ36" s="827"/>
      <c r="FK36" s="827"/>
      <c r="FL36" s="827"/>
      <c r="FM36" s="827"/>
      <c r="FN36" s="827"/>
      <c r="FO36" s="827"/>
      <c r="FP36" s="827"/>
      <c r="FQ36" s="827"/>
      <c r="FR36" s="827"/>
      <c r="FS36" s="827"/>
      <c r="FT36" s="827"/>
      <c r="FU36" s="827"/>
      <c r="FV36" s="827"/>
      <c r="FW36" s="827"/>
      <c r="FX36" s="827"/>
      <c r="FY36" s="827"/>
      <c r="FZ36" s="827"/>
      <c r="GA36" s="827"/>
      <c r="GB36" s="827"/>
      <c r="GC36" s="827"/>
      <c r="GD36" s="827"/>
      <c r="GE36" s="827"/>
      <c r="GF36" s="827"/>
      <c r="GG36" s="827"/>
      <c r="GH36" s="827"/>
      <c r="GI36" s="827"/>
      <c r="GJ36" s="827"/>
      <c r="GK36" s="827"/>
      <c r="GL36" s="827"/>
      <c r="GM36" s="827"/>
      <c r="GN36" s="827"/>
      <c r="GO36" s="827"/>
      <c r="GP36" s="827"/>
      <c r="GQ36" s="827"/>
      <c r="GR36" s="827"/>
      <c r="GS36" s="827"/>
      <c r="GT36" s="827"/>
      <c r="GU36" s="827"/>
      <c r="GV36" s="827"/>
      <c r="GW36" s="827"/>
      <c r="GX36" s="827"/>
      <c r="GY36" s="827"/>
      <c r="GZ36" s="827"/>
      <c r="HA36" s="827"/>
      <c r="HB36" s="827"/>
      <c r="HC36" s="827"/>
      <c r="HD36" s="828"/>
      <c r="HE36" s="827"/>
      <c r="HF36" s="827"/>
      <c r="HG36" s="829">
        <v>0.42499999999999999</v>
      </c>
    </row>
    <row r="37" spans="1:215" ht="15" customHeight="1" x14ac:dyDescent="0.2">
      <c r="A37" s="463" t="s">
        <v>112</v>
      </c>
      <c r="B37" s="827"/>
      <c r="C37" s="827"/>
      <c r="D37" s="827"/>
      <c r="E37" s="827"/>
      <c r="F37" s="827"/>
      <c r="G37" s="827"/>
      <c r="H37" s="827"/>
      <c r="I37" s="827"/>
      <c r="J37" s="827"/>
      <c r="K37" s="827"/>
      <c r="L37" s="827"/>
      <c r="M37" s="827"/>
      <c r="N37" s="827"/>
      <c r="O37" s="827"/>
      <c r="P37" s="827"/>
      <c r="Q37" s="827"/>
      <c r="R37" s="827"/>
      <c r="S37" s="827"/>
      <c r="T37" s="827"/>
      <c r="U37" s="827"/>
      <c r="V37" s="827"/>
      <c r="W37" s="827"/>
      <c r="X37" s="827"/>
      <c r="Y37" s="827"/>
      <c r="Z37" s="827"/>
      <c r="AA37" s="827"/>
      <c r="AB37" s="827"/>
      <c r="AC37" s="827"/>
      <c r="AD37" s="827"/>
      <c r="AE37" s="827"/>
      <c r="AF37" s="827"/>
      <c r="AG37" s="827"/>
      <c r="AH37" s="827"/>
      <c r="AI37" s="827"/>
      <c r="AJ37" s="827"/>
      <c r="AK37" s="827"/>
      <c r="AL37" s="827"/>
      <c r="AM37" s="827"/>
      <c r="AN37" s="827"/>
      <c r="AO37" s="827"/>
      <c r="AP37" s="827"/>
      <c r="AQ37" s="827"/>
      <c r="AR37" s="827"/>
      <c r="AS37" s="827"/>
      <c r="AT37" s="827"/>
      <c r="AU37" s="827"/>
      <c r="AV37" s="827"/>
      <c r="AW37" s="827"/>
      <c r="AX37" s="827"/>
      <c r="AY37" s="827"/>
      <c r="AZ37" s="827"/>
      <c r="BA37" s="827"/>
      <c r="BB37" s="827"/>
      <c r="BC37" s="827"/>
      <c r="BD37" s="827"/>
      <c r="BE37" s="827"/>
      <c r="BF37" s="827"/>
      <c r="BG37" s="827"/>
      <c r="BH37" s="827"/>
      <c r="BI37" s="827"/>
      <c r="BJ37" s="827"/>
      <c r="BK37" s="827"/>
      <c r="BL37" s="827"/>
      <c r="BM37" s="827"/>
      <c r="BN37" s="827"/>
      <c r="BO37" s="827"/>
      <c r="BP37" s="827"/>
      <c r="BQ37" s="827"/>
      <c r="BR37" s="827"/>
      <c r="BS37" s="827"/>
      <c r="BT37" s="827"/>
      <c r="BU37" s="827"/>
      <c r="BV37" s="827"/>
      <c r="BW37" s="827"/>
      <c r="BX37" s="827"/>
      <c r="BY37" s="827"/>
      <c r="BZ37" s="827"/>
      <c r="CA37" s="827"/>
      <c r="CB37" s="827"/>
      <c r="CC37" s="827"/>
      <c r="CD37" s="827"/>
      <c r="CE37" s="827"/>
      <c r="CF37" s="827"/>
      <c r="CG37" s="827"/>
      <c r="CH37" s="827"/>
      <c r="CI37" s="827"/>
      <c r="CJ37" s="827"/>
      <c r="CK37" s="827"/>
      <c r="CL37" s="827"/>
      <c r="CM37" s="827">
        <v>10.284000000000001</v>
      </c>
      <c r="CN37" s="827">
        <v>10.284000000000001</v>
      </c>
      <c r="CO37" s="827">
        <v>10.284000000000001</v>
      </c>
      <c r="CP37" s="827"/>
      <c r="CQ37" s="827"/>
      <c r="CR37" s="827"/>
      <c r="CS37" s="827"/>
      <c r="CT37" s="827"/>
      <c r="CU37" s="827"/>
      <c r="CV37" s="827"/>
      <c r="CW37" s="827"/>
      <c r="CX37" s="827"/>
      <c r="CY37" s="827"/>
      <c r="CZ37" s="827"/>
      <c r="DA37" s="827"/>
      <c r="DB37" s="827"/>
      <c r="DC37" s="827"/>
      <c r="DD37" s="827"/>
      <c r="DE37" s="827"/>
      <c r="DF37" s="827"/>
      <c r="DG37" s="827"/>
      <c r="DH37" s="827"/>
      <c r="DI37" s="827"/>
      <c r="DJ37" s="827"/>
      <c r="DK37" s="827"/>
      <c r="DL37" s="827"/>
      <c r="DM37" s="827"/>
      <c r="DN37" s="827"/>
      <c r="DO37" s="827"/>
      <c r="DP37" s="827"/>
      <c r="DQ37" s="827"/>
      <c r="DR37" s="827"/>
      <c r="DS37" s="827"/>
      <c r="DT37" s="827"/>
      <c r="DU37" s="827"/>
      <c r="DV37" s="827"/>
      <c r="DW37" s="827"/>
      <c r="DX37" s="827"/>
      <c r="DY37" s="827"/>
      <c r="DZ37" s="827"/>
      <c r="EA37" s="827"/>
      <c r="EB37" s="827"/>
      <c r="EC37" s="827"/>
      <c r="ED37" s="827"/>
      <c r="EE37" s="827"/>
      <c r="EF37" s="827"/>
      <c r="EG37" s="827"/>
      <c r="EH37" s="827"/>
      <c r="EI37" s="827"/>
      <c r="EJ37" s="827"/>
      <c r="EK37" s="827"/>
      <c r="EL37" s="827"/>
      <c r="EM37" s="827"/>
      <c r="EN37" s="827"/>
      <c r="EO37" s="827"/>
      <c r="EP37" s="827"/>
      <c r="EQ37" s="827"/>
      <c r="ER37" s="827"/>
      <c r="ES37" s="827"/>
      <c r="ET37" s="827"/>
      <c r="EU37" s="827"/>
      <c r="EV37" s="827"/>
      <c r="EW37" s="827"/>
      <c r="EX37" s="827"/>
      <c r="EY37" s="827"/>
      <c r="EZ37" s="827"/>
      <c r="FA37" s="827"/>
      <c r="FB37" s="827"/>
      <c r="FC37" s="827"/>
      <c r="FD37" s="827"/>
      <c r="FE37" s="827"/>
      <c r="FF37" s="827"/>
      <c r="FG37" s="827"/>
      <c r="FH37" s="827"/>
      <c r="FI37" s="827"/>
      <c r="FJ37" s="827"/>
      <c r="FK37" s="827"/>
      <c r="FL37" s="827"/>
      <c r="FM37" s="827"/>
      <c r="FN37" s="827"/>
      <c r="FO37" s="827"/>
      <c r="FP37" s="827"/>
      <c r="FQ37" s="827"/>
      <c r="FR37" s="827"/>
      <c r="FS37" s="827"/>
      <c r="FT37" s="827"/>
      <c r="FU37" s="827"/>
      <c r="FV37" s="827"/>
      <c r="FW37" s="827"/>
      <c r="FX37" s="827"/>
      <c r="FY37" s="827"/>
      <c r="FZ37" s="827"/>
      <c r="GA37" s="827"/>
      <c r="GB37" s="827"/>
      <c r="GC37" s="827"/>
      <c r="GD37" s="827"/>
      <c r="GE37" s="827"/>
      <c r="GF37" s="827"/>
      <c r="GG37" s="827"/>
      <c r="GH37" s="827"/>
      <c r="GI37" s="827"/>
      <c r="GJ37" s="827"/>
      <c r="GK37" s="827"/>
      <c r="GL37" s="827"/>
      <c r="GM37" s="827"/>
      <c r="GN37" s="827"/>
      <c r="GO37" s="827"/>
      <c r="GP37" s="827"/>
      <c r="GQ37" s="827"/>
      <c r="GR37" s="827"/>
      <c r="GS37" s="827"/>
      <c r="GT37" s="827"/>
      <c r="GU37" s="827"/>
      <c r="GV37" s="827"/>
      <c r="GW37" s="827"/>
      <c r="GX37" s="827"/>
      <c r="GY37" s="827"/>
      <c r="GZ37" s="827"/>
      <c r="HA37" s="827"/>
      <c r="HB37" s="827"/>
      <c r="HC37" s="827"/>
      <c r="HD37" s="828"/>
      <c r="HE37" s="827"/>
      <c r="HF37" s="827"/>
      <c r="HG37" s="829">
        <v>10.284000000000001</v>
      </c>
    </row>
    <row r="38" spans="1:215" ht="15" customHeight="1" x14ac:dyDescent="0.2">
      <c r="A38" s="463" t="s">
        <v>48</v>
      </c>
      <c r="B38" s="827"/>
      <c r="C38" s="827"/>
      <c r="D38" s="827"/>
      <c r="E38" s="827"/>
      <c r="F38" s="827"/>
      <c r="G38" s="827"/>
      <c r="H38" s="827"/>
      <c r="I38" s="827"/>
      <c r="J38" s="827"/>
      <c r="K38" s="827"/>
      <c r="L38" s="827"/>
      <c r="M38" s="827"/>
      <c r="N38" s="827"/>
      <c r="O38" s="827"/>
      <c r="P38" s="827"/>
      <c r="Q38" s="827"/>
      <c r="R38" s="827"/>
      <c r="S38" s="827"/>
      <c r="T38" s="827"/>
      <c r="U38" s="827"/>
      <c r="V38" s="827"/>
      <c r="W38" s="827"/>
      <c r="X38" s="827"/>
      <c r="Y38" s="827"/>
      <c r="Z38" s="827"/>
      <c r="AA38" s="827"/>
      <c r="AB38" s="827"/>
      <c r="AC38" s="827"/>
      <c r="AD38" s="827"/>
      <c r="AE38" s="827"/>
      <c r="AF38" s="827"/>
      <c r="AG38" s="827"/>
      <c r="AH38" s="827"/>
      <c r="AI38" s="827"/>
      <c r="AJ38" s="827"/>
      <c r="AK38" s="827"/>
      <c r="AL38" s="827"/>
      <c r="AM38" s="827"/>
      <c r="AN38" s="827"/>
      <c r="AO38" s="827"/>
      <c r="AP38" s="827"/>
      <c r="AQ38" s="827"/>
      <c r="AR38" s="827"/>
      <c r="AS38" s="827"/>
      <c r="AT38" s="827"/>
      <c r="AU38" s="827"/>
      <c r="AV38" s="827"/>
      <c r="AW38" s="827"/>
      <c r="AX38" s="827"/>
      <c r="AY38" s="827"/>
      <c r="AZ38" s="827"/>
      <c r="BA38" s="827"/>
      <c r="BB38" s="827"/>
      <c r="BC38" s="827"/>
      <c r="BD38" s="827"/>
      <c r="BE38" s="827"/>
      <c r="BF38" s="827"/>
      <c r="BG38" s="827"/>
      <c r="BH38" s="827"/>
      <c r="BI38" s="827"/>
      <c r="BJ38" s="827"/>
      <c r="BK38" s="827"/>
      <c r="BL38" s="827"/>
      <c r="BM38" s="827"/>
      <c r="BN38" s="827"/>
      <c r="BO38" s="827"/>
      <c r="BP38" s="827"/>
      <c r="BQ38" s="827"/>
      <c r="BR38" s="827"/>
      <c r="BS38" s="827"/>
      <c r="BT38" s="827"/>
      <c r="BU38" s="827"/>
      <c r="BV38" s="827"/>
      <c r="BW38" s="827"/>
      <c r="BX38" s="827"/>
      <c r="BY38" s="827"/>
      <c r="BZ38" s="827"/>
      <c r="CA38" s="827"/>
      <c r="CB38" s="827"/>
      <c r="CC38" s="827"/>
      <c r="CD38" s="827"/>
      <c r="CE38" s="827"/>
      <c r="CF38" s="827"/>
      <c r="CG38" s="827"/>
      <c r="CH38" s="827"/>
      <c r="CI38" s="827"/>
      <c r="CJ38" s="827"/>
      <c r="CK38" s="827"/>
      <c r="CL38" s="827"/>
      <c r="CM38" s="827"/>
      <c r="CN38" s="827"/>
      <c r="CO38" s="827"/>
      <c r="CP38" s="827"/>
      <c r="CQ38" s="827"/>
      <c r="CR38" s="827"/>
      <c r="CS38" s="827"/>
      <c r="CT38" s="827"/>
      <c r="CU38" s="827"/>
      <c r="CV38" s="827"/>
      <c r="CW38" s="827"/>
      <c r="CX38" s="827"/>
      <c r="CY38" s="827"/>
      <c r="CZ38" s="827"/>
      <c r="DA38" s="827"/>
      <c r="DB38" s="827"/>
      <c r="DC38" s="827"/>
      <c r="DD38" s="827"/>
      <c r="DE38" s="827"/>
      <c r="DF38" s="827"/>
      <c r="DG38" s="827"/>
      <c r="DH38" s="827"/>
      <c r="DI38" s="827"/>
      <c r="DJ38" s="827"/>
      <c r="DK38" s="827"/>
      <c r="DL38" s="827"/>
      <c r="DM38" s="827"/>
      <c r="DN38" s="827"/>
      <c r="DO38" s="827"/>
      <c r="DP38" s="827"/>
      <c r="DQ38" s="827"/>
      <c r="DR38" s="827"/>
      <c r="DS38" s="827"/>
      <c r="DT38" s="827"/>
      <c r="DU38" s="827"/>
      <c r="DV38" s="827"/>
      <c r="DW38" s="827"/>
      <c r="DX38" s="827"/>
      <c r="DY38" s="827"/>
      <c r="DZ38" s="827"/>
      <c r="EA38" s="827"/>
      <c r="EB38" s="827"/>
      <c r="EC38" s="827"/>
      <c r="ED38" s="827"/>
      <c r="EE38" s="827"/>
      <c r="EF38" s="827"/>
      <c r="EG38" s="827"/>
      <c r="EH38" s="827"/>
      <c r="EI38" s="827"/>
      <c r="EJ38" s="827"/>
      <c r="EK38" s="827"/>
      <c r="EL38" s="827"/>
      <c r="EM38" s="827"/>
      <c r="EN38" s="827"/>
      <c r="EO38" s="827"/>
      <c r="EP38" s="827"/>
      <c r="EQ38" s="827"/>
      <c r="ER38" s="827"/>
      <c r="ES38" s="827"/>
      <c r="ET38" s="827"/>
      <c r="EU38" s="827"/>
      <c r="EV38" s="827"/>
      <c r="EW38" s="827"/>
      <c r="EX38" s="827"/>
      <c r="EY38" s="827"/>
      <c r="EZ38" s="827"/>
      <c r="FA38" s="827"/>
      <c r="FB38" s="827"/>
      <c r="FC38" s="827"/>
      <c r="FD38" s="827"/>
      <c r="FE38" s="827"/>
      <c r="FF38" s="827"/>
      <c r="FG38" s="827"/>
      <c r="FH38" s="827"/>
      <c r="FI38" s="827"/>
      <c r="FJ38" s="827"/>
      <c r="FK38" s="827"/>
      <c r="FL38" s="827"/>
      <c r="FM38" s="827">
        <v>783.99087196349853</v>
      </c>
      <c r="FN38" s="827">
        <v>783.99087196349853</v>
      </c>
      <c r="FO38" s="827">
        <v>783.99087196349853</v>
      </c>
      <c r="FP38" s="827"/>
      <c r="FQ38" s="827"/>
      <c r="FR38" s="827"/>
      <c r="FS38" s="827"/>
      <c r="FT38" s="827"/>
      <c r="FU38" s="827"/>
      <c r="FV38" s="827"/>
      <c r="FW38" s="827"/>
      <c r="FX38" s="827"/>
      <c r="FY38" s="827"/>
      <c r="FZ38" s="827"/>
      <c r="GA38" s="827"/>
      <c r="GB38" s="827"/>
      <c r="GC38" s="827"/>
      <c r="GD38" s="827"/>
      <c r="GE38" s="827"/>
      <c r="GF38" s="827"/>
      <c r="GG38" s="827"/>
      <c r="GH38" s="827"/>
      <c r="GI38" s="827"/>
      <c r="GJ38" s="827"/>
      <c r="GK38" s="827"/>
      <c r="GL38" s="827"/>
      <c r="GM38" s="827"/>
      <c r="GN38" s="827"/>
      <c r="GO38" s="827"/>
      <c r="GP38" s="827"/>
      <c r="GQ38" s="827"/>
      <c r="GR38" s="827"/>
      <c r="GS38" s="827"/>
      <c r="GT38" s="827"/>
      <c r="GU38" s="827"/>
      <c r="GV38" s="827"/>
      <c r="GW38" s="827"/>
      <c r="GX38" s="827"/>
      <c r="GY38" s="827"/>
      <c r="GZ38" s="827"/>
      <c r="HA38" s="827"/>
      <c r="HB38" s="827"/>
      <c r="HC38" s="827"/>
      <c r="HD38" s="828"/>
      <c r="HE38" s="827"/>
      <c r="HF38" s="827"/>
      <c r="HG38" s="829">
        <v>783.99087196349853</v>
      </c>
    </row>
    <row r="39" spans="1:215" ht="15" customHeight="1" x14ac:dyDescent="0.2">
      <c r="A39" s="463" t="s">
        <v>44</v>
      </c>
      <c r="B39" s="827"/>
      <c r="C39" s="827"/>
      <c r="D39" s="827"/>
      <c r="E39" s="827"/>
      <c r="F39" s="827"/>
      <c r="G39" s="827"/>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827"/>
      <c r="AT39" s="827"/>
      <c r="AU39" s="827"/>
      <c r="AV39" s="827"/>
      <c r="AW39" s="827"/>
      <c r="AX39" s="827"/>
      <c r="AY39" s="827"/>
      <c r="AZ39" s="827"/>
      <c r="BA39" s="827"/>
      <c r="BB39" s="827"/>
      <c r="BC39" s="827"/>
      <c r="BD39" s="827"/>
      <c r="BE39" s="827"/>
      <c r="BF39" s="827"/>
      <c r="BG39" s="827"/>
      <c r="BH39" s="827"/>
      <c r="BI39" s="827"/>
      <c r="BJ39" s="827"/>
      <c r="BK39" s="827"/>
      <c r="BL39" s="827"/>
      <c r="BM39" s="827"/>
      <c r="BN39" s="827"/>
      <c r="BO39" s="827"/>
      <c r="BP39" s="827"/>
      <c r="BQ39" s="827"/>
      <c r="BR39" s="827"/>
      <c r="BS39" s="827"/>
      <c r="BT39" s="827"/>
      <c r="BU39" s="827"/>
      <c r="BV39" s="827"/>
      <c r="BW39" s="827"/>
      <c r="BX39" s="827"/>
      <c r="BY39" s="827"/>
      <c r="BZ39" s="827"/>
      <c r="CA39" s="827"/>
      <c r="CB39" s="827"/>
      <c r="CC39" s="827"/>
      <c r="CD39" s="827"/>
      <c r="CE39" s="827"/>
      <c r="CF39" s="827"/>
      <c r="CG39" s="827"/>
      <c r="CH39" s="827"/>
      <c r="CI39" s="827"/>
      <c r="CJ39" s="827"/>
      <c r="CK39" s="827"/>
      <c r="CL39" s="827"/>
      <c r="CM39" s="827"/>
      <c r="CN39" s="827"/>
      <c r="CO39" s="827"/>
      <c r="CP39" s="827"/>
      <c r="CQ39" s="827"/>
      <c r="CR39" s="827"/>
      <c r="CS39" s="827"/>
      <c r="CT39" s="827"/>
      <c r="CU39" s="827"/>
      <c r="CV39" s="827"/>
      <c r="CW39" s="827"/>
      <c r="CX39" s="827"/>
      <c r="CY39" s="827"/>
      <c r="CZ39" s="827"/>
      <c r="DA39" s="827"/>
      <c r="DB39" s="827"/>
      <c r="DC39" s="827"/>
      <c r="DD39" s="827"/>
      <c r="DE39" s="827"/>
      <c r="DF39" s="827"/>
      <c r="DG39" s="827"/>
      <c r="DH39" s="827"/>
      <c r="DI39" s="827"/>
      <c r="DJ39" s="827"/>
      <c r="DK39" s="827"/>
      <c r="DL39" s="827"/>
      <c r="DM39" s="827"/>
      <c r="DN39" s="827"/>
      <c r="DO39" s="827"/>
      <c r="DP39" s="827"/>
      <c r="DQ39" s="827"/>
      <c r="DR39" s="827"/>
      <c r="DS39" s="827"/>
      <c r="DT39" s="827"/>
      <c r="DU39" s="827"/>
      <c r="DV39" s="827"/>
      <c r="DW39" s="827"/>
      <c r="DX39" s="827"/>
      <c r="DY39" s="827"/>
      <c r="DZ39" s="827"/>
      <c r="EA39" s="827"/>
      <c r="EB39" s="827"/>
      <c r="EC39" s="827"/>
      <c r="ED39" s="827"/>
      <c r="EE39" s="827"/>
      <c r="EF39" s="827"/>
      <c r="EG39" s="827"/>
      <c r="EH39" s="827"/>
      <c r="EI39" s="827"/>
      <c r="EJ39" s="827"/>
      <c r="EK39" s="827"/>
      <c r="EL39" s="827"/>
      <c r="EM39" s="827"/>
      <c r="EN39" s="827"/>
      <c r="EO39" s="827"/>
      <c r="EP39" s="827"/>
      <c r="EQ39" s="827"/>
      <c r="ER39" s="827"/>
      <c r="ES39" s="827"/>
      <c r="ET39" s="827"/>
      <c r="EU39" s="827"/>
      <c r="EV39" s="827"/>
      <c r="EW39" s="827"/>
      <c r="EX39" s="827"/>
      <c r="EY39" s="827"/>
      <c r="EZ39" s="827"/>
      <c r="FA39" s="827"/>
      <c r="FB39" s="827"/>
      <c r="FC39" s="827"/>
      <c r="FD39" s="827"/>
      <c r="FE39" s="827"/>
      <c r="FF39" s="827"/>
      <c r="FG39" s="827"/>
      <c r="FH39" s="827"/>
      <c r="FI39" s="827"/>
      <c r="FJ39" s="827"/>
      <c r="FK39" s="827"/>
      <c r="FL39" s="827"/>
      <c r="FM39" s="827"/>
      <c r="FN39" s="827"/>
      <c r="FO39" s="827"/>
      <c r="FP39" s="827"/>
      <c r="FQ39" s="827"/>
      <c r="FR39" s="827"/>
      <c r="FS39" s="827"/>
      <c r="FT39" s="827"/>
      <c r="FU39" s="827"/>
      <c r="FV39" s="827"/>
      <c r="FW39" s="827"/>
      <c r="FX39" s="827"/>
      <c r="FY39" s="827"/>
      <c r="FZ39" s="827"/>
      <c r="GA39" s="827"/>
      <c r="GB39" s="827"/>
      <c r="GC39" s="827"/>
      <c r="GD39" s="827"/>
      <c r="GE39" s="827"/>
      <c r="GF39" s="827"/>
      <c r="GG39" s="827"/>
      <c r="GH39" s="827"/>
      <c r="GI39" s="827"/>
      <c r="GJ39" s="827"/>
      <c r="GK39" s="827"/>
      <c r="GL39" s="827"/>
      <c r="GM39" s="827"/>
      <c r="GN39" s="827"/>
      <c r="GO39" s="827"/>
      <c r="GP39" s="827"/>
      <c r="GQ39" s="827"/>
      <c r="GR39" s="827"/>
      <c r="GS39" s="827"/>
      <c r="GT39" s="827"/>
      <c r="GU39" s="827"/>
      <c r="GV39" s="827"/>
      <c r="GW39" s="827">
        <v>0</v>
      </c>
      <c r="GX39" s="827">
        <v>0</v>
      </c>
      <c r="GY39" s="827">
        <v>0</v>
      </c>
      <c r="GZ39" s="827"/>
      <c r="HA39" s="827"/>
      <c r="HB39" s="827"/>
      <c r="HC39" s="827"/>
      <c r="HD39" s="828"/>
      <c r="HE39" s="827"/>
      <c r="HF39" s="827"/>
      <c r="HG39" s="829">
        <v>0</v>
      </c>
    </row>
    <row r="40" spans="1:215" ht="15" customHeight="1" x14ac:dyDescent="0.2">
      <c r="A40" s="463" t="s">
        <v>134</v>
      </c>
      <c r="B40" s="827"/>
      <c r="C40" s="827"/>
      <c r="D40" s="827"/>
      <c r="E40" s="827"/>
      <c r="F40" s="827"/>
      <c r="G40" s="827"/>
      <c r="H40" s="827"/>
      <c r="I40" s="827"/>
      <c r="J40" s="827"/>
      <c r="K40" s="827"/>
      <c r="L40" s="827"/>
      <c r="M40" s="827"/>
      <c r="N40" s="827"/>
      <c r="O40" s="827"/>
      <c r="P40" s="827"/>
      <c r="Q40" s="827"/>
      <c r="R40" s="827"/>
      <c r="S40" s="827"/>
      <c r="T40" s="827"/>
      <c r="U40" s="827"/>
      <c r="V40" s="827"/>
      <c r="W40" s="827"/>
      <c r="X40" s="827"/>
      <c r="Y40" s="827"/>
      <c r="Z40" s="827"/>
      <c r="AA40" s="827"/>
      <c r="AB40" s="827"/>
      <c r="AC40" s="827"/>
      <c r="AD40" s="827"/>
      <c r="AE40" s="827"/>
      <c r="AF40" s="827"/>
      <c r="AG40" s="827"/>
      <c r="AH40" s="827"/>
      <c r="AI40" s="827"/>
      <c r="AJ40" s="827"/>
      <c r="AK40" s="827"/>
      <c r="AL40" s="827"/>
      <c r="AM40" s="827"/>
      <c r="AN40" s="827"/>
      <c r="AO40" s="827"/>
      <c r="AP40" s="827"/>
      <c r="AQ40" s="827"/>
      <c r="AR40" s="827"/>
      <c r="AS40" s="827"/>
      <c r="AT40" s="827"/>
      <c r="AU40" s="827"/>
      <c r="AV40" s="827"/>
      <c r="AW40" s="827"/>
      <c r="AX40" s="827"/>
      <c r="AY40" s="827"/>
      <c r="AZ40" s="827"/>
      <c r="BA40" s="827"/>
      <c r="BB40" s="827"/>
      <c r="BC40" s="827"/>
      <c r="BD40" s="827"/>
      <c r="BE40" s="827"/>
      <c r="BF40" s="827"/>
      <c r="BG40" s="827"/>
      <c r="BH40" s="827"/>
      <c r="BI40" s="827"/>
      <c r="BJ40" s="827"/>
      <c r="BK40" s="827"/>
      <c r="BL40" s="827"/>
      <c r="BM40" s="827"/>
      <c r="BN40" s="827"/>
      <c r="BO40" s="827"/>
      <c r="BP40" s="827"/>
      <c r="BQ40" s="827"/>
      <c r="BR40" s="827"/>
      <c r="BS40" s="827"/>
      <c r="BT40" s="827"/>
      <c r="BU40" s="827"/>
      <c r="BV40" s="827"/>
      <c r="BW40" s="827"/>
      <c r="BX40" s="827"/>
      <c r="BY40" s="827"/>
      <c r="BZ40" s="827"/>
      <c r="CA40" s="827"/>
      <c r="CB40" s="827"/>
      <c r="CC40" s="827"/>
      <c r="CD40" s="827"/>
      <c r="CE40" s="827"/>
      <c r="CF40" s="827"/>
      <c r="CG40" s="827"/>
      <c r="CH40" s="827"/>
      <c r="CI40" s="827"/>
      <c r="CJ40" s="827"/>
      <c r="CK40" s="827"/>
      <c r="CL40" s="827"/>
      <c r="CM40" s="827"/>
      <c r="CN40" s="827"/>
      <c r="CO40" s="827"/>
      <c r="CP40" s="827"/>
      <c r="CQ40" s="827"/>
      <c r="CR40" s="827"/>
      <c r="CS40" s="827"/>
      <c r="CT40" s="827"/>
      <c r="CU40" s="827"/>
      <c r="CV40" s="827"/>
      <c r="CW40" s="827"/>
      <c r="CX40" s="827"/>
      <c r="CY40" s="827"/>
      <c r="CZ40" s="827"/>
      <c r="DA40" s="827"/>
      <c r="DB40" s="827"/>
      <c r="DC40" s="827"/>
      <c r="DD40" s="827"/>
      <c r="DE40" s="827"/>
      <c r="DF40" s="827"/>
      <c r="DG40" s="827"/>
      <c r="DH40" s="827">
        <v>17.482276256481079</v>
      </c>
      <c r="DI40" s="827">
        <v>17.482276256481079</v>
      </c>
      <c r="DJ40" s="827">
        <v>17.482276256481079</v>
      </c>
      <c r="DK40" s="827"/>
      <c r="DL40" s="827"/>
      <c r="DM40" s="827"/>
      <c r="DN40" s="827"/>
      <c r="DO40" s="827"/>
      <c r="DP40" s="827"/>
      <c r="DQ40" s="827"/>
      <c r="DR40" s="827"/>
      <c r="DS40" s="827"/>
      <c r="DT40" s="827"/>
      <c r="DU40" s="827"/>
      <c r="DV40" s="827"/>
      <c r="DW40" s="827"/>
      <c r="DX40" s="827"/>
      <c r="DY40" s="827"/>
      <c r="DZ40" s="827"/>
      <c r="EA40" s="827"/>
      <c r="EB40" s="827"/>
      <c r="EC40" s="827"/>
      <c r="ED40" s="827"/>
      <c r="EE40" s="827"/>
      <c r="EF40" s="827"/>
      <c r="EG40" s="827"/>
      <c r="EH40" s="827"/>
      <c r="EI40" s="827"/>
      <c r="EJ40" s="827"/>
      <c r="EK40" s="827"/>
      <c r="EL40" s="827"/>
      <c r="EM40" s="827"/>
      <c r="EN40" s="827"/>
      <c r="EO40" s="827"/>
      <c r="EP40" s="827"/>
      <c r="EQ40" s="827"/>
      <c r="ER40" s="827"/>
      <c r="ES40" s="827"/>
      <c r="ET40" s="827"/>
      <c r="EU40" s="827"/>
      <c r="EV40" s="827"/>
      <c r="EW40" s="827"/>
      <c r="EX40" s="827"/>
      <c r="EY40" s="827"/>
      <c r="EZ40" s="827"/>
      <c r="FA40" s="827"/>
      <c r="FB40" s="827"/>
      <c r="FC40" s="827"/>
      <c r="FD40" s="827"/>
      <c r="FE40" s="827"/>
      <c r="FF40" s="827"/>
      <c r="FG40" s="827"/>
      <c r="FH40" s="827"/>
      <c r="FI40" s="827"/>
      <c r="FJ40" s="827"/>
      <c r="FK40" s="827"/>
      <c r="FL40" s="827"/>
      <c r="FM40" s="827"/>
      <c r="FN40" s="827"/>
      <c r="FO40" s="827"/>
      <c r="FP40" s="827"/>
      <c r="FQ40" s="827"/>
      <c r="FR40" s="827"/>
      <c r="FS40" s="827"/>
      <c r="FT40" s="827"/>
      <c r="FU40" s="827"/>
      <c r="FV40" s="827"/>
      <c r="FW40" s="827"/>
      <c r="FX40" s="827"/>
      <c r="FY40" s="827"/>
      <c r="FZ40" s="827"/>
      <c r="GA40" s="827"/>
      <c r="GB40" s="827"/>
      <c r="GC40" s="827"/>
      <c r="GD40" s="827"/>
      <c r="GE40" s="827"/>
      <c r="GF40" s="827"/>
      <c r="GG40" s="827"/>
      <c r="GH40" s="827"/>
      <c r="GI40" s="827"/>
      <c r="GJ40" s="827"/>
      <c r="GK40" s="827"/>
      <c r="GL40" s="827"/>
      <c r="GM40" s="827"/>
      <c r="GN40" s="827"/>
      <c r="GO40" s="827"/>
      <c r="GP40" s="827"/>
      <c r="GQ40" s="827"/>
      <c r="GR40" s="827"/>
      <c r="GS40" s="827"/>
      <c r="GT40" s="827"/>
      <c r="GU40" s="827"/>
      <c r="GV40" s="827"/>
      <c r="GW40" s="827"/>
      <c r="GX40" s="827"/>
      <c r="GY40" s="827"/>
      <c r="GZ40" s="827"/>
      <c r="HA40" s="827"/>
      <c r="HB40" s="827"/>
      <c r="HC40" s="827"/>
      <c r="HD40" s="828"/>
      <c r="HE40" s="827"/>
      <c r="HF40" s="827"/>
      <c r="HG40" s="829">
        <v>17.482276256481079</v>
      </c>
    </row>
    <row r="41" spans="1:215" ht="15" customHeight="1" x14ac:dyDescent="0.2">
      <c r="A41" s="463" t="s">
        <v>104</v>
      </c>
      <c r="B41" s="827"/>
      <c r="C41" s="827"/>
      <c r="D41" s="827"/>
      <c r="E41" s="827"/>
      <c r="F41" s="827"/>
      <c r="G41" s="827"/>
      <c r="H41" s="827"/>
      <c r="I41" s="827"/>
      <c r="J41" s="827"/>
      <c r="K41" s="827"/>
      <c r="L41" s="827"/>
      <c r="M41" s="827"/>
      <c r="N41" s="827"/>
      <c r="O41" s="827"/>
      <c r="P41" s="827"/>
      <c r="Q41" s="827"/>
      <c r="R41" s="827"/>
      <c r="S41" s="827"/>
      <c r="T41" s="827"/>
      <c r="U41" s="827"/>
      <c r="V41" s="827"/>
      <c r="W41" s="827">
        <v>0.42499999999999999</v>
      </c>
      <c r="X41" s="827">
        <v>0.42499999999999999</v>
      </c>
      <c r="Y41" s="827">
        <v>0.42499999999999999</v>
      </c>
      <c r="Z41" s="827"/>
      <c r="AA41" s="827"/>
      <c r="AB41" s="827"/>
      <c r="AC41" s="827"/>
      <c r="AD41" s="827"/>
      <c r="AE41" s="827"/>
      <c r="AF41" s="827"/>
      <c r="AG41" s="827"/>
      <c r="AH41" s="827"/>
      <c r="AI41" s="827"/>
      <c r="AJ41" s="827"/>
      <c r="AK41" s="827"/>
      <c r="AL41" s="827"/>
      <c r="AM41" s="827"/>
      <c r="AN41" s="827"/>
      <c r="AO41" s="827"/>
      <c r="AP41" s="827"/>
      <c r="AQ41" s="827"/>
      <c r="AR41" s="827"/>
      <c r="AS41" s="827"/>
      <c r="AT41" s="827"/>
      <c r="AU41" s="827"/>
      <c r="AV41" s="827"/>
      <c r="AW41" s="827"/>
      <c r="AX41" s="827"/>
      <c r="AY41" s="827"/>
      <c r="AZ41" s="827"/>
      <c r="BA41" s="827"/>
      <c r="BB41" s="827"/>
      <c r="BC41" s="827"/>
      <c r="BD41" s="827"/>
      <c r="BE41" s="827"/>
      <c r="BF41" s="827"/>
      <c r="BG41" s="827"/>
      <c r="BH41" s="827"/>
      <c r="BI41" s="827"/>
      <c r="BJ41" s="827"/>
      <c r="BK41" s="827"/>
      <c r="BL41" s="827"/>
      <c r="BM41" s="827"/>
      <c r="BN41" s="827"/>
      <c r="BO41" s="827"/>
      <c r="BP41" s="827"/>
      <c r="BQ41" s="827"/>
      <c r="BR41" s="827"/>
      <c r="BS41" s="827"/>
      <c r="BT41" s="827"/>
      <c r="BU41" s="827"/>
      <c r="BV41" s="827"/>
      <c r="BW41" s="827"/>
      <c r="BX41" s="827"/>
      <c r="BY41" s="827"/>
      <c r="BZ41" s="827"/>
      <c r="CA41" s="827"/>
      <c r="CB41" s="827"/>
      <c r="CC41" s="827"/>
      <c r="CD41" s="827"/>
      <c r="CE41" s="827"/>
      <c r="CF41" s="827"/>
      <c r="CG41" s="827"/>
      <c r="CH41" s="827"/>
      <c r="CI41" s="827"/>
      <c r="CJ41" s="827"/>
      <c r="CK41" s="827"/>
      <c r="CL41" s="827"/>
      <c r="CM41" s="827"/>
      <c r="CN41" s="827"/>
      <c r="CO41" s="827"/>
      <c r="CP41" s="827"/>
      <c r="CQ41" s="827"/>
      <c r="CR41" s="827"/>
      <c r="CS41" s="827"/>
      <c r="CT41" s="827"/>
      <c r="CU41" s="827"/>
      <c r="CV41" s="827"/>
      <c r="CW41" s="827"/>
      <c r="CX41" s="827"/>
      <c r="CY41" s="827"/>
      <c r="CZ41" s="827"/>
      <c r="DA41" s="827"/>
      <c r="DB41" s="827"/>
      <c r="DC41" s="827"/>
      <c r="DD41" s="827"/>
      <c r="DE41" s="827"/>
      <c r="DF41" s="827"/>
      <c r="DG41" s="827"/>
      <c r="DH41" s="827"/>
      <c r="DI41" s="827"/>
      <c r="DJ41" s="827"/>
      <c r="DK41" s="827"/>
      <c r="DL41" s="827"/>
      <c r="DM41" s="827"/>
      <c r="DN41" s="827"/>
      <c r="DO41" s="827"/>
      <c r="DP41" s="827"/>
      <c r="DQ41" s="827"/>
      <c r="DR41" s="827"/>
      <c r="DS41" s="827"/>
      <c r="DT41" s="827"/>
      <c r="DU41" s="827"/>
      <c r="DV41" s="827"/>
      <c r="DW41" s="827"/>
      <c r="DX41" s="827"/>
      <c r="DY41" s="827"/>
      <c r="DZ41" s="827"/>
      <c r="EA41" s="827"/>
      <c r="EB41" s="827"/>
      <c r="EC41" s="827"/>
      <c r="ED41" s="827"/>
      <c r="EE41" s="827"/>
      <c r="EF41" s="827"/>
      <c r="EG41" s="827"/>
      <c r="EH41" s="827"/>
      <c r="EI41" s="827"/>
      <c r="EJ41" s="827"/>
      <c r="EK41" s="827"/>
      <c r="EL41" s="827"/>
      <c r="EM41" s="827"/>
      <c r="EN41" s="827"/>
      <c r="EO41" s="827"/>
      <c r="EP41" s="827"/>
      <c r="EQ41" s="827"/>
      <c r="ER41" s="827"/>
      <c r="ES41" s="827"/>
      <c r="ET41" s="827"/>
      <c r="EU41" s="827"/>
      <c r="EV41" s="827"/>
      <c r="EW41" s="827"/>
      <c r="EX41" s="827"/>
      <c r="EY41" s="827"/>
      <c r="EZ41" s="827"/>
      <c r="FA41" s="827"/>
      <c r="FB41" s="827"/>
      <c r="FC41" s="827"/>
      <c r="FD41" s="827"/>
      <c r="FE41" s="827"/>
      <c r="FF41" s="827"/>
      <c r="FG41" s="827"/>
      <c r="FH41" s="827"/>
      <c r="FI41" s="827"/>
      <c r="FJ41" s="827"/>
      <c r="FK41" s="827"/>
      <c r="FL41" s="827"/>
      <c r="FM41" s="827"/>
      <c r="FN41" s="827"/>
      <c r="FO41" s="827"/>
      <c r="FP41" s="827"/>
      <c r="FQ41" s="827"/>
      <c r="FR41" s="827"/>
      <c r="FS41" s="827"/>
      <c r="FT41" s="827"/>
      <c r="FU41" s="827"/>
      <c r="FV41" s="827"/>
      <c r="FW41" s="827"/>
      <c r="FX41" s="827"/>
      <c r="FY41" s="827"/>
      <c r="FZ41" s="827"/>
      <c r="GA41" s="827"/>
      <c r="GB41" s="827"/>
      <c r="GC41" s="827"/>
      <c r="GD41" s="827"/>
      <c r="GE41" s="827"/>
      <c r="GF41" s="827"/>
      <c r="GG41" s="827"/>
      <c r="GH41" s="827"/>
      <c r="GI41" s="827"/>
      <c r="GJ41" s="827"/>
      <c r="GK41" s="827"/>
      <c r="GL41" s="827"/>
      <c r="GM41" s="827"/>
      <c r="GN41" s="827"/>
      <c r="GO41" s="827"/>
      <c r="GP41" s="827"/>
      <c r="GQ41" s="827"/>
      <c r="GR41" s="827"/>
      <c r="GS41" s="827"/>
      <c r="GT41" s="827"/>
      <c r="GU41" s="827"/>
      <c r="GV41" s="827"/>
      <c r="GW41" s="827"/>
      <c r="GX41" s="827"/>
      <c r="GY41" s="827"/>
      <c r="GZ41" s="827"/>
      <c r="HA41" s="827"/>
      <c r="HB41" s="827"/>
      <c r="HC41" s="827"/>
      <c r="HD41" s="828"/>
      <c r="HE41" s="827"/>
      <c r="HF41" s="827"/>
      <c r="HG41" s="829">
        <v>0.42499999999999999</v>
      </c>
    </row>
    <row r="42" spans="1:215" ht="15" customHeight="1" x14ac:dyDescent="0.2">
      <c r="A42" s="463" t="s">
        <v>113</v>
      </c>
      <c r="B42" s="827"/>
      <c r="C42" s="827"/>
      <c r="D42" s="827"/>
      <c r="E42" s="827"/>
      <c r="F42" s="827"/>
      <c r="G42" s="827"/>
      <c r="H42" s="827"/>
      <c r="I42" s="827"/>
      <c r="J42" s="827"/>
      <c r="K42" s="827"/>
      <c r="L42" s="827"/>
      <c r="M42" s="827"/>
      <c r="N42" s="827"/>
      <c r="O42" s="827"/>
      <c r="P42" s="827"/>
      <c r="Q42" s="827"/>
      <c r="R42" s="827"/>
      <c r="S42" s="827"/>
      <c r="T42" s="827"/>
      <c r="U42" s="827"/>
      <c r="V42" s="827"/>
      <c r="W42" s="827"/>
      <c r="X42" s="827"/>
      <c r="Y42" s="827"/>
      <c r="Z42" s="827"/>
      <c r="AA42" s="827"/>
      <c r="AB42" s="827"/>
      <c r="AC42" s="827"/>
      <c r="AD42" s="827"/>
      <c r="AE42" s="827"/>
      <c r="AF42" s="827"/>
      <c r="AG42" s="827"/>
      <c r="AH42" s="827"/>
      <c r="AI42" s="827"/>
      <c r="AJ42" s="827"/>
      <c r="AK42" s="827"/>
      <c r="AL42" s="827"/>
      <c r="AM42" s="827"/>
      <c r="AN42" s="827"/>
      <c r="AO42" s="827"/>
      <c r="AP42" s="827"/>
      <c r="AQ42" s="827"/>
      <c r="AR42" s="827"/>
      <c r="AS42" s="827"/>
      <c r="AT42" s="827"/>
      <c r="AU42" s="827"/>
      <c r="AV42" s="827"/>
      <c r="AW42" s="827"/>
      <c r="AX42" s="827"/>
      <c r="AY42" s="827"/>
      <c r="AZ42" s="827"/>
      <c r="BA42" s="827"/>
      <c r="BB42" s="827"/>
      <c r="BC42" s="827"/>
      <c r="BD42" s="827"/>
      <c r="BE42" s="827"/>
      <c r="BF42" s="827"/>
      <c r="BG42" s="827"/>
      <c r="BH42" s="827"/>
      <c r="BI42" s="827"/>
      <c r="BJ42" s="827"/>
      <c r="BK42" s="827"/>
      <c r="BL42" s="827"/>
      <c r="BM42" s="827"/>
      <c r="BN42" s="827"/>
      <c r="BO42" s="827"/>
      <c r="BP42" s="827"/>
      <c r="BQ42" s="827"/>
      <c r="BR42" s="827"/>
      <c r="BS42" s="827"/>
      <c r="BT42" s="827"/>
      <c r="BU42" s="827"/>
      <c r="BV42" s="827"/>
      <c r="BW42" s="827"/>
      <c r="BX42" s="827"/>
      <c r="BY42" s="827"/>
      <c r="BZ42" s="827"/>
      <c r="CA42" s="827"/>
      <c r="CB42" s="827"/>
      <c r="CC42" s="827"/>
      <c r="CD42" s="827"/>
      <c r="CE42" s="827"/>
      <c r="CF42" s="827"/>
      <c r="CG42" s="827"/>
      <c r="CH42" s="827"/>
      <c r="CI42" s="827"/>
      <c r="CJ42" s="827"/>
      <c r="CK42" s="827"/>
      <c r="CL42" s="827"/>
      <c r="CM42" s="827"/>
      <c r="CN42" s="827"/>
      <c r="CO42" s="827"/>
      <c r="CP42" s="827">
        <v>12.459</v>
      </c>
      <c r="CQ42" s="827">
        <v>12.459</v>
      </c>
      <c r="CR42" s="827">
        <v>12.459</v>
      </c>
      <c r="CS42" s="827"/>
      <c r="CT42" s="827"/>
      <c r="CU42" s="827"/>
      <c r="CV42" s="827"/>
      <c r="CW42" s="827"/>
      <c r="CX42" s="827"/>
      <c r="CY42" s="827"/>
      <c r="CZ42" s="827"/>
      <c r="DA42" s="827"/>
      <c r="DB42" s="827"/>
      <c r="DC42" s="827"/>
      <c r="DD42" s="827"/>
      <c r="DE42" s="827"/>
      <c r="DF42" s="827"/>
      <c r="DG42" s="827"/>
      <c r="DH42" s="827"/>
      <c r="DI42" s="827"/>
      <c r="DJ42" s="827"/>
      <c r="DK42" s="827"/>
      <c r="DL42" s="827"/>
      <c r="DM42" s="827"/>
      <c r="DN42" s="827"/>
      <c r="DO42" s="827"/>
      <c r="DP42" s="827"/>
      <c r="DQ42" s="827"/>
      <c r="DR42" s="827"/>
      <c r="DS42" s="827"/>
      <c r="DT42" s="827"/>
      <c r="DU42" s="827"/>
      <c r="DV42" s="827"/>
      <c r="DW42" s="827"/>
      <c r="DX42" s="827"/>
      <c r="DY42" s="827"/>
      <c r="DZ42" s="827"/>
      <c r="EA42" s="827"/>
      <c r="EB42" s="827"/>
      <c r="EC42" s="827"/>
      <c r="ED42" s="827"/>
      <c r="EE42" s="827"/>
      <c r="EF42" s="827"/>
      <c r="EG42" s="827"/>
      <c r="EH42" s="827"/>
      <c r="EI42" s="827"/>
      <c r="EJ42" s="827"/>
      <c r="EK42" s="827"/>
      <c r="EL42" s="827"/>
      <c r="EM42" s="827"/>
      <c r="EN42" s="827"/>
      <c r="EO42" s="827"/>
      <c r="EP42" s="827"/>
      <c r="EQ42" s="827"/>
      <c r="ER42" s="827"/>
      <c r="ES42" s="827"/>
      <c r="ET42" s="827"/>
      <c r="EU42" s="827"/>
      <c r="EV42" s="827"/>
      <c r="EW42" s="827"/>
      <c r="EX42" s="827"/>
      <c r="EY42" s="827"/>
      <c r="EZ42" s="827"/>
      <c r="FA42" s="827"/>
      <c r="FB42" s="827"/>
      <c r="FC42" s="827"/>
      <c r="FD42" s="827"/>
      <c r="FE42" s="827"/>
      <c r="FF42" s="827"/>
      <c r="FG42" s="827"/>
      <c r="FH42" s="827"/>
      <c r="FI42" s="827"/>
      <c r="FJ42" s="827"/>
      <c r="FK42" s="827"/>
      <c r="FL42" s="827"/>
      <c r="FM42" s="827"/>
      <c r="FN42" s="827"/>
      <c r="FO42" s="827"/>
      <c r="FP42" s="827"/>
      <c r="FQ42" s="827"/>
      <c r="FR42" s="827"/>
      <c r="FS42" s="827"/>
      <c r="FT42" s="827"/>
      <c r="FU42" s="827"/>
      <c r="FV42" s="827"/>
      <c r="FW42" s="827"/>
      <c r="FX42" s="827"/>
      <c r="FY42" s="827"/>
      <c r="FZ42" s="827"/>
      <c r="GA42" s="827"/>
      <c r="GB42" s="827"/>
      <c r="GC42" s="827"/>
      <c r="GD42" s="827"/>
      <c r="GE42" s="827"/>
      <c r="GF42" s="827"/>
      <c r="GG42" s="827"/>
      <c r="GH42" s="827"/>
      <c r="GI42" s="827"/>
      <c r="GJ42" s="827"/>
      <c r="GK42" s="827"/>
      <c r="GL42" s="827"/>
      <c r="GM42" s="827"/>
      <c r="GN42" s="827"/>
      <c r="GO42" s="827"/>
      <c r="GP42" s="827"/>
      <c r="GQ42" s="827"/>
      <c r="GR42" s="827"/>
      <c r="GS42" s="827"/>
      <c r="GT42" s="827"/>
      <c r="GU42" s="827"/>
      <c r="GV42" s="827"/>
      <c r="GW42" s="827"/>
      <c r="GX42" s="827"/>
      <c r="GY42" s="827"/>
      <c r="GZ42" s="827"/>
      <c r="HA42" s="827"/>
      <c r="HB42" s="827"/>
      <c r="HC42" s="827"/>
      <c r="HD42" s="828"/>
      <c r="HE42" s="827"/>
      <c r="HF42" s="827"/>
      <c r="HG42" s="829">
        <v>12.459</v>
      </c>
    </row>
    <row r="43" spans="1:215" ht="15" customHeight="1" x14ac:dyDescent="0.2">
      <c r="A43" s="463" t="s">
        <v>51</v>
      </c>
      <c r="B43" s="827"/>
      <c r="C43" s="827"/>
      <c r="D43" s="827"/>
      <c r="E43" s="827"/>
      <c r="F43" s="827"/>
      <c r="G43" s="827"/>
      <c r="H43" s="827"/>
      <c r="I43" s="827"/>
      <c r="J43" s="827"/>
      <c r="K43" s="827"/>
      <c r="L43" s="827"/>
      <c r="M43" s="827"/>
      <c r="N43" s="827"/>
      <c r="O43" s="827"/>
      <c r="P43" s="827"/>
      <c r="Q43" s="827"/>
      <c r="R43" s="827"/>
      <c r="S43" s="827"/>
      <c r="T43" s="827"/>
      <c r="U43" s="827"/>
      <c r="V43" s="827"/>
      <c r="W43" s="827"/>
      <c r="X43" s="827"/>
      <c r="Y43" s="827"/>
      <c r="Z43" s="827"/>
      <c r="AA43" s="827"/>
      <c r="AB43" s="827"/>
      <c r="AC43" s="827"/>
      <c r="AD43" s="827"/>
      <c r="AE43" s="827"/>
      <c r="AF43" s="827"/>
      <c r="AG43" s="827"/>
      <c r="AH43" s="827"/>
      <c r="AI43" s="827"/>
      <c r="AJ43" s="827"/>
      <c r="AK43" s="827"/>
      <c r="AL43" s="827"/>
      <c r="AM43" s="827"/>
      <c r="AN43" s="827"/>
      <c r="AO43" s="827"/>
      <c r="AP43" s="827"/>
      <c r="AQ43" s="827"/>
      <c r="AR43" s="827"/>
      <c r="AS43" s="827"/>
      <c r="AT43" s="827"/>
      <c r="AU43" s="827"/>
      <c r="AV43" s="827"/>
      <c r="AW43" s="827"/>
      <c r="AX43" s="827"/>
      <c r="AY43" s="827"/>
      <c r="AZ43" s="827"/>
      <c r="BA43" s="827"/>
      <c r="BB43" s="827"/>
      <c r="BC43" s="827"/>
      <c r="BD43" s="827"/>
      <c r="BE43" s="827"/>
      <c r="BF43" s="827"/>
      <c r="BG43" s="827"/>
      <c r="BH43" s="827"/>
      <c r="BI43" s="827"/>
      <c r="BJ43" s="827"/>
      <c r="BK43" s="827"/>
      <c r="BL43" s="827"/>
      <c r="BM43" s="827"/>
      <c r="BN43" s="827"/>
      <c r="BO43" s="827"/>
      <c r="BP43" s="827"/>
      <c r="BQ43" s="827"/>
      <c r="BR43" s="827"/>
      <c r="BS43" s="827"/>
      <c r="BT43" s="827"/>
      <c r="BU43" s="827"/>
      <c r="BV43" s="827"/>
      <c r="BW43" s="827"/>
      <c r="BX43" s="827"/>
      <c r="BY43" s="827"/>
      <c r="BZ43" s="827"/>
      <c r="CA43" s="827"/>
      <c r="CB43" s="827"/>
      <c r="CC43" s="827"/>
      <c r="CD43" s="827"/>
      <c r="CE43" s="827"/>
      <c r="CF43" s="827"/>
      <c r="CG43" s="827"/>
      <c r="CH43" s="827"/>
      <c r="CI43" s="827"/>
      <c r="CJ43" s="827"/>
      <c r="CK43" s="827"/>
      <c r="CL43" s="827"/>
      <c r="CM43" s="827"/>
      <c r="CN43" s="827"/>
      <c r="CO43" s="827"/>
      <c r="CP43" s="827"/>
      <c r="CQ43" s="827"/>
      <c r="CR43" s="827"/>
      <c r="CS43" s="827"/>
      <c r="CT43" s="827"/>
      <c r="CU43" s="827"/>
      <c r="CV43" s="827"/>
      <c r="CW43" s="827"/>
      <c r="CX43" s="827"/>
      <c r="CY43" s="827"/>
      <c r="CZ43" s="827"/>
      <c r="DA43" s="827"/>
      <c r="DB43" s="827"/>
      <c r="DC43" s="827"/>
      <c r="DD43" s="827"/>
      <c r="DE43" s="827"/>
      <c r="DF43" s="827"/>
      <c r="DG43" s="827"/>
      <c r="DH43" s="827"/>
      <c r="DI43" s="827"/>
      <c r="DJ43" s="827"/>
      <c r="DK43" s="827"/>
      <c r="DL43" s="827"/>
      <c r="DM43" s="827"/>
      <c r="DN43" s="827"/>
      <c r="DO43" s="827"/>
      <c r="DP43" s="827"/>
      <c r="DQ43" s="827"/>
      <c r="DR43" s="827"/>
      <c r="DS43" s="827"/>
      <c r="DT43" s="827"/>
      <c r="DU43" s="827"/>
      <c r="DV43" s="827"/>
      <c r="DW43" s="827"/>
      <c r="DX43" s="827"/>
      <c r="DY43" s="827"/>
      <c r="DZ43" s="827"/>
      <c r="EA43" s="827"/>
      <c r="EB43" s="827"/>
      <c r="EC43" s="827"/>
      <c r="ED43" s="827"/>
      <c r="EE43" s="827"/>
      <c r="EF43" s="827"/>
      <c r="EG43" s="827"/>
      <c r="EH43" s="827"/>
      <c r="EI43" s="827"/>
      <c r="EJ43" s="827"/>
      <c r="EK43" s="827"/>
      <c r="EL43" s="827"/>
      <c r="EM43" s="827"/>
      <c r="EN43" s="827"/>
      <c r="EO43" s="827"/>
      <c r="EP43" s="827"/>
      <c r="EQ43" s="827"/>
      <c r="ER43" s="827"/>
      <c r="ES43" s="827"/>
      <c r="ET43" s="827"/>
      <c r="EU43" s="827"/>
      <c r="EV43" s="827"/>
      <c r="EW43" s="827"/>
      <c r="EX43" s="827"/>
      <c r="EY43" s="827"/>
      <c r="EZ43" s="827"/>
      <c r="FA43" s="827"/>
      <c r="FB43" s="827"/>
      <c r="FC43" s="827"/>
      <c r="FD43" s="827"/>
      <c r="FE43" s="827"/>
      <c r="FF43" s="827"/>
      <c r="FG43" s="827"/>
      <c r="FH43" s="827"/>
      <c r="FI43" s="827"/>
      <c r="FJ43" s="827"/>
      <c r="FK43" s="827"/>
      <c r="FL43" s="827"/>
      <c r="FM43" s="827"/>
      <c r="FN43" s="827"/>
      <c r="FO43" s="827"/>
      <c r="FP43" s="827">
        <v>830.60939515989025</v>
      </c>
      <c r="FQ43" s="827">
        <v>830.60939515989025</v>
      </c>
      <c r="FR43" s="827">
        <v>830.60939515989025</v>
      </c>
      <c r="FS43" s="827"/>
      <c r="FT43" s="827"/>
      <c r="FU43" s="827"/>
      <c r="FV43" s="827"/>
      <c r="FW43" s="827"/>
      <c r="FX43" s="827"/>
      <c r="FY43" s="827"/>
      <c r="FZ43" s="827"/>
      <c r="GA43" s="827"/>
      <c r="GB43" s="827"/>
      <c r="GC43" s="827"/>
      <c r="GD43" s="827"/>
      <c r="GE43" s="827"/>
      <c r="GF43" s="827"/>
      <c r="GG43" s="827"/>
      <c r="GH43" s="827"/>
      <c r="GI43" s="827"/>
      <c r="GJ43" s="827"/>
      <c r="GK43" s="827"/>
      <c r="GL43" s="827"/>
      <c r="GM43" s="827"/>
      <c r="GN43" s="827"/>
      <c r="GO43" s="827"/>
      <c r="GP43" s="827"/>
      <c r="GQ43" s="827"/>
      <c r="GR43" s="827"/>
      <c r="GS43" s="827"/>
      <c r="GT43" s="827"/>
      <c r="GU43" s="827"/>
      <c r="GV43" s="827"/>
      <c r="GW43" s="827"/>
      <c r="GX43" s="827"/>
      <c r="GY43" s="827"/>
      <c r="GZ43" s="827"/>
      <c r="HA43" s="827"/>
      <c r="HB43" s="827"/>
      <c r="HC43" s="827"/>
      <c r="HD43" s="828"/>
      <c r="HE43" s="827"/>
      <c r="HF43" s="827"/>
      <c r="HG43" s="829">
        <v>830.60939515989025</v>
      </c>
    </row>
    <row r="44" spans="1:215" ht="15" customHeight="1" x14ac:dyDescent="0.2">
      <c r="A44" s="463" t="s">
        <v>49</v>
      </c>
      <c r="B44" s="827"/>
      <c r="C44" s="827"/>
      <c r="D44" s="827"/>
      <c r="E44" s="827"/>
      <c r="F44" s="827"/>
      <c r="G44" s="827"/>
      <c r="H44" s="827"/>
      <c r="I44" s="827"/>
      <c r="J44" s="827"/>
      <c r="K44" s="827"/>
      <c r="L44" s="827"/>
      <c r="M44" s="827"/>
      <c r="N44" s="827"/>
      <c r="O44" s="827"/>
      <c r="P44" s="827"/>
      <c r="Q44" s="827"/>
      <c r="R44" s="827"/>
      <c r="S44" s="827"/>
      <c r="T44" s="827"/>
      <c r="U44" s="827"/>
      <c r="V44" s="827"/>
      <c r="W44" s="827"/>
      <c r="X44" s="827"/>
      <c r="Y44" s="827"/>
      <c r="Z44" s="827"/>
      <c r="AA44" s="827"/>
      <c r="AB44" s="827"/>
      <c r="AC44" s="827"/>
      <c r="AD44" s="827"/>
      <c r="AE44" s="827"/>
      <c r="AF44" s="827"/>
      <c r="AG44" s="827"/>
      <c r="AH44" s="827"/>
      <c r="AI44" s="827"/>
      <c r="AJ44" s="827"/>
      <c r="AK44" s="827"/>
      <c r="AL44" s="827"/>
      <c r="AM44" s="827"/>
      <c r="AN44" s="827"/>
      <c r="AO44" s="827"/>
      <c r="AP44" s="827"/>
      <c r="AQ44" s="827"/>
      <c r="AR44" s="827"/>
      <c r="AS44" s="827"/>
      <c r="AT44" s="827"/>
      <c r="AU44" s="827"/>
      <c r="AV44" s="827"/>
      <c r="AW44" s="827"/>
      <c r="AX44" s="827"/>
      <c r="AY44" s="827"/>
      <c r="AZ44" s="827"/>
      <c r="BA44" s="827"/>
      <c r="BB44" s="827"/>
      <c r="BC44" s="827"/>
      <c r="BD44" s="827"/>
      <c r="BE44" s="827"/>
      <c r="BF44" s="827"/>
      <c r="BG44" s="827"/>
      <c r="BH44" s="827"/>
      <c r="BI44" s="827"/>
      <c r="BJ44" s="827"/>
      <c r="BK44" s="827"/>
      <c r="BL44" s="827"/>
      <c r="BM44" s="827"/>
      <c r="BN44" s="827"/>
      <c r="BO44" s="827"/>
      <c r="BP44" s="827"/>
      <c r="BQ44" s="827"/>
      <c r="BR44" s="827"/>
      <c r="BS44" s="827"/>
      <c r="BT44" s="827"/>
      <c r="BU44" s="827"/>
      <c r="BV44" s="827"/>
      <c r="BW44" s="827"/>
      <c r="BX44" s="827"/>
      <c r="BY44" s="827"/>
      <c r="BZ44" s="827"/>
      <c r="CA44" s="827"/>
      <c r="CB44" s="827"/>
      <c r="CC44" s="827"/>
      <c r="CD44" s="827"/>
      <c r="CE44" s="827"/>
      <c r="CF44" s="827"/>
      <c r="CG44" s="827"/>
      <c r="CH44" s="827"/>
      <c r="CI44" s="827"/>
      <c r="CJ44" s="827"/>
      <c r="CK44" s="827"/>
      <c r="CL44" s="827"/>
      <c r="CM44" s="827"/>
      <c r="CN44" s="827"/>
      <c r="CO44" s="827"/>
      <c r="CP44" s="827"/>
      <c r="CQ44" s="827"/>
      <c r="CR44" s="827"/>
      <c r="CS44" s="827"/>
      <c r="CT44" s="827"/>
      <c r="CU44" s="827"/>
      <c r="CV44" s="827"/>
      <c r="CW44" s="827"/>
      <c r="CX44" s="827"/>
      <c r="CY44" s="827"/>
      <c r="CZ44" s="827"/>
      <c r="DA44" s="827"/>
      <c r="DB44" s="827"/>
      <c r="DC44" s="827"/>
      <c r="DD44" s="827"/>
      <c r="DE44" s="827"/>
      <c r="DF44" s="827"/>
      <c r="DG44" s="827"/>
      <c r="DH44" s="827"/>
      <c r="DI44" s="827"/>
      <c r="DJ44" s="827"/>
      <c r="DK44" s="827"/>
      <c r="DL44" s="827"/>
      <c r="DM44" s="827"/>
      <c r="DN44" s="827"/>
      <c r="DO44" s="827"/>
      <c r="DP44" s="827"/>
      <c r="DQ44" s="827"/>
      <c r="DR44" s="827"/>
      <c r="DS44" s="827"/>
      <c r="DT44" s="827"/>
      <c r="DU44" s="827"/>
      <c r="DV44" s="827"/>
      <c r="DW44" s="827"/>
      <c r="DX44" s="827"/>
      <c r="DY44" s="827"/>
      <c r="DZ44" s="827"/>
      <c r="EA44" s="827"/>
      <c r="EB44" s="827"/>
      <c r="EC44" s="827"/>
      <c r="ED44" s="827"/>
      <c r="EE44" s="827"/>
      <c r="EF44" s="827"/>
      <c r="EG44" s="827"/>
      <c r="EH44" s="827"/>
      <c r="EI44" s="827"/>
      <c r="EJ44" s="827"/>
      <c r="EK44" s="827"/>
      <c r="EL44" s="827"/>
      <c r="EM44" s="827"/>
      <c r="EN44" s="827"/>
      <c r="EO44" s="827"/>
      <c r="EP44" s="827"/>
      <c r="EQ44" s="827"/>
      <c r="ER44" s="827"/>
      <c r="ES44" s="827"/>
      <c r="ET44" s="827"/>
      <c r="EU44" s="827"/>
      <c r="EV44" s="827"/>
      <c r="EW44" s="827"/>
      <c r="EX44" s="827"/>
      <c r="EY44" s="827"/>
      <c r="EZ44" s="827"/>
      <c r="FA44" s="827"/>
      <c r="FB44" s="827"/>
      <c r="FC44" s="827"/>
      <c r="FD44" s="827"/>
      <c r="FE44" s="827"/>
      <c r="FF44" s="827"/>
      <c r="FG44" s="827"/>
      <c r="FH44" s="827"/>
      <c r="FI44" s="827"/>
      <c r="FJ44" s="827"/>
      <c r="FK44" s="827"/>
      <c r="FL44" s="827"/>
      <c r="FM44" s="827"/>
      <c r="FN44" s="827"/>
      <c r="FO44" s="827"/>
      <c r="FP44" s="827"/>
      <c r="FQ44" s="827"/>
      <c r="FR44" s="827"/>
      <c r="FS44" s="827"/>
      <c r="FT44" s="827"/>
      <c r="FU44" s="827"/>
      <c r="FV44" s="827"/>
      <c r="FW44" s="827"/>
      <c r="FX44" s="827"/>
      <c r="FY44" s="827"/>
      <c r="FZ44" s="827"/>
      <c r="GA44" s="827"/>
      <c r="GB44" s="827"/>
      <c r="GC44" s="827"/>
      <c r="GD44" s="827"/>
      <c r="GE44" s="827">
        <v>0</v>
      </c>
      <c r="GF44" s="827">
        <v>0</v>
      </c>
      <c r="GG44" s="827">
        <v>0</v>
      </c>
      <c r="GH44" s="827"/>
      <c r="GI44" s="827"/>
      <c r="GJ44" s="827"/>
      <c r="GK44" s="827"/>
      <c r="GL44" s="827"/>
      <c r="GM44" s="827"/>
      <c r="GN44" s="827"/>
      <c r="GO44" s="827"/>
      <c r="GP44" s="827"/>
      <c r="GQ44" s="827"/>
      <c r="GR44" s="827"/>
      <c r="GS44" s="827"/>
      <c r="GT44" s="827"/>
      <c r="GU44" s="827"/>
      <c r="GV44" s="827"/>
      <c r="GW44" s="827"/>
      <c r="GX44" s="827"/>
      <c r="GY44" s="827"/>
      <c r="GZ44" s="827"/>
      <c r="HA44" s="827"/>
      <c r="HB44" s="827"/>
      <c r="HC44" s="827"/>
      <c r="HD44" s="828"/>
      <c r="HE44" s="827"/>
      <c r="HF44" s="827"/>
      <c r="HG44" s="829">
        <v>0</v>
      </c>
    </row>
    <row r="45" spans="1:215" ht="15" customHeight="1" x14ac:dyDescent="0.2">
      <c r="A45" s="463" t="s">
        <v>136</v>
      </c>
      <c r="B45" s="827"/>
      <c r="C45" s="827"/>
      <c r="D45" s="827"/>
      <c r="E45" s="827"/>
      <c r="F45" s="827"/>
      <c r="G45" s="827"/>
      <c r="H45" s="827"/>
      <c r="I45" s="827"/>
      <c r="J45" s="827"/>
      <c r="K45" s="827"/>
      <c r="L45" s="827"/>
      <c r="M45" s="827"/>
      <c r="N45" s="827"/>
      <c r="O45" s="827"/>
      <c r="P45" s="827"/>
      <c r="Q45" s="827"/>
      <c r="R45" s="827"/>
      <c r="S45" s="827"/>
      <c r="T45" s="827"/>
      <c r="U45" s="827"/>
      <c r="V45" s="827"/>
      <c r="W45" s="827"/>
      <c r="X45" s="827"/>
      <c r="Y45" s="827"/>
      <c r="Z45" s="827"/>
      <c r="AA45" s="827"/>
      <c r="AB45" s="827"/>
      <c r="AC45" s="827"/>
      <c r="AD45" s="827"/>
      <c r="AE45" s="827"/>
      <c r="AF45" s="827"/>
      <c r="AG45" s="827"/>
      <c r="AH45" s="827"/>
      <c r="AI45" s="827"/>
      <c r="AJ45" s="827"/>
      <c r="AK45" s="827"/>
      <c r="AL45" s="827"/>
      <c r="AM45" s="827"/>
      <c r="AN45" s="827"/>
      <c r="AO45" s="827"/>
      <c r="AP45" s="827"/>
      <c r="AQ45" s="827"/>
      <c r="AR45" s="827"/>
      <c r="AS45" s="827"/>
      <c r="AT45" s="827"/>
      <c r="AU45" s="827"/>
      <c r="AV45" s="827"/>
      <c r="AW45" s="827"/>
      <c r="AX45" s="827"/>
      <c r="AY45" s="827"/>
      <c r="AZ45" s="827"/>
      <c r="BA45" s="827"/>
      <c r="BB45" s="827"/>
      <c r="BC45" s="827"/>
      <c r="BD45" s="827"/>
      <c r="BE45" s="827"/>
      <c r="BF45" s="827"/>
      <c r="BG45" s="827"/>
      <c r="BH45" s="827"/>
      <c r="BI45" s="827"/>
      <c r="BJ45" s="827"/>
      <c r="BK45" s="827"/>
      <c r="BL45" s="827"/>
      <c r="BM45" s="827"/>
      <c r="BN45" s="827"/>
      <c r="BO45" s="827"/>
      <c r="BP45" s="827"/>
      <c r="BQ45" s="827"/>
      <c r="BR45" s="827"/>
      <c r="BS45" s="827"/>
      <c r="BT45" s="827"/>
      <c r="BU45" s="827"/>
      <c r="BV45" s="827"/>
      <c r="BW45" s="827"/>
      <c r="BX45" s="827"/>
      <c r="BY45" s="827"/>
      <c r="BZ45" s="827"/>
      <c r="CA45" s="827"/>
      <c r="CB45" s="827"/>
      <c r="CC45" s="827"/>
      <c r="CD45" s="827"/>
      <c r="CE45" s="827"/>
      <c r="CF45" s="827"/>
      <c r="CG45" s="827"/>
      <c r="CH45" s="827"/>
      <c r="CI45" s="827"/>
      <c r="CJ45" s="827"/>
      <c r="CK45" s="827"/>
      <c r="CL45" s="827"/>
      <c r="CM45" s="827"/>
      <c r="CN45" s="827"/>
      <c r="CO45" s="827"/>
      <c r="CP45" s="827"/>
      <c r="CQ45" s="827"/>
      <c r="CR45" s="827"/>
      <c r="CS45" s="827"/>
      <c r="CT45" s="827"/>
      <c r="CU45" s="827"/>
      <c r="CV45" s="827"/>
      <c r="CW45" s="827"/>
      <c r="CX45" s="827"/>
      <c r="CY45" s="827"/>
      <c r="CZ45" s="827"/>
      <c r="DA45" s="827"/>
      <c r="DB45" s="827">
        <v>16.056276256481077</v>
      </c>
      <c r="DC45" s="827">
        <v>16.056276256481077</v>
      </c>
      <c r="DD45" s="827">
        <v>16.056276256481077</v>
      </c>
      <c r="DE45" s="827"/>
      <c r="DF45" s="827"/>
      <c r="DG45" s="827"/>
      <c r="DH45" s="827"/>
      <c r="DI45" s="827"/>
      <c r="DJ45" s="827"/>
      <c r="DK45" s="827"/>
      <c r="DL45" s="827"/>
      <c r="DM45" s="827"/>
      <c r="DN45" s="827"/>
      <c r="DO45" s="827"/>
      <c r="DP45" s="827"/>
      <c r="DQ45" s="827"/>
      <c r="DR45" s="827"/>
      <c r="DS45" s="827"/>
      <c r="DT45" s="827"/>
      <c r="DU45" s="827"/>
      <c r="DV45" s="827"/>
      <c r="DW45" s="827"/>
      <c r="DX45" s="827"/>
      <c r="DY45" s="827"/>
      <c r="DZ45" s="827"/>
      <c r="EA45" s="827"/>
      <c r="EB45" s="827"/>
      <c r="EC45" s="827"/>
      <c r="ED45" s="827"/>
      <c r="EE45" s="827"/>
      <c r="EF45" s="827"/>
      <c r="EG45" s="827"/>
      <c r="EH45" s="827"/>
      <c r="EI45" s="827"/>
      <c r="EJ45" s="827"/>
      <c r="EK45" s="827"/>
      <c r="EL45" s="827"/>
      <c r="EM45" s="827"/>
      <c r="EN45" s="827"/>
      <c r="EO45" s="827"/>
      <c r="EP45" s="827"/>
      <c r="EQ45" s="827"/>
      <c r="ER45" s="827"/>
      <c r="ES45" s="827"/>
      <c r="ET45" s="827"/>
      <c r="EU45" s="827"/>
      <c r="EV45" s="827"/>
      <c r="EW45" s="827"/>
      <c r="EX45" s="827"/>
      <c r="EY45" s="827"/>
      <c r="EZ45" s="827"/>
      <c r="FA45" s="827"/>
      <c r="FB45" s="827"/>
      <c r="FC45" s="827"/>
      <c r="FD45" s="827"/>
      <c r="FE45" s="827"/>
      <c r="FF45" s="827"/>
      <c r="FG45" s="827"/>
      <c r="FH45" s="827"/>
      <c r="FI45" s="827"/>
      <c r="FJ45" s="827"/>
      <c r="FK45" s="827"/>
      <c r="FL45" s="827"/>
      <c r="FM45" s="827"/>
      <c r="FN45" s="827"/>
      <c r="FO45" s="827"/>
      <c r="FP45" s="827"/>
      <c r="FQ45" s="827"/>
      <c r="FR45" s="827"/>
      <c r="FS45" s="827"/>
      <c r="FT45" s="827"/>
      <c r="FU45" s="827"/>
      <c r="FV45" s="827"/>
      <c r="FW45" s="827"/>
      <c r="FX45" s="827"/>
      <c r="FY45" s="827"/>
      <c r="FZ45" s="827"/>
      <c r="GA45" s="827"/>
      <c r="GB45" s="827"/>
      <c r="GC45" s="827"/>
      <c r="GD45" s="827"/>
      <c r="GE45" s="827"/>
      <c r="GF45" s="827"/>
      <c r="GG45" s="827"/>
      <c r="GH45" s="827"/>
      <c r="GI45" s="827"/>
      <c r="GJ45" s="827"/>
      <c r="GK45" s="827"/>
      <c r="GL45" s="827"/>
      <c r="GM45" s="827"/>
      <c r="GN45" s="827"/>
      <c r="GO45" s="827"/>
      <c r="GP45" s="827"/>
      <c r="GQ45" s="827"/>
      <c r="GR45" s="827"/>
      <c r="GS45" s="827"/>
      <c r="GT45" s="827"/>
      <c r="GU45" s="827"/>
      <c r="GV45" s="827"/>
      <c r="GW45" s="827"/>
      <c r="GX45" s="827"/>
      <c r="GY45" s="827"/>
      <c r="GZ45" s="827"/>
      <c r="HA45" s="827"/>
      <c r="HB45" s="827"/>
      <c r="HC45" s="827"/>
      <c r="HD45" s="828"/>
      <c r="HE45" s="827"/>
      <c r="HF45" s="827"/>
      <c r="HG45" s="829">
        <v>16.056276256481077</v>
      </c>
    </row>
    <row r="46" spans="1:215" ht="15" customHeight="1" x14ac:dyDescent="0.2">
      <c r="A46" s="463" t="s">
        <v>106</v>
      </c>
      <c r="B46" s="827"/>
      <c r="C46" s="827"/>
      <c r="D46" s="827"/>
      <c r="E46" s="827"/>
      <c r="F46" s="827"/>
      <c r="G46" s="827"/>
      <c r="H46" s="827"/>
      <c r="I46" s="827"/>
      <c r="J46" s="827"/>
      <c r="K46" s="827"/>
      <c r="L46" s="827"/>
      <c r="M46" s="827"/>
      <c r="N46" s="827"/>
      <c r="O46" s="827"/>
      <c r="P46" s="827"/>
      <c r="Q46" s="827"/>
      <c r="R46" s="827"/>
      <c r="S46" s="827"/>
      <c r="T46" s="827"/>
      <c r="U46" s="827"/>
      <c r="V46" s="827"/>
      <c r="W46" s="827">
        <v>0.42499999999999999</v>
      </c>
      <c r="X46" s="827">
        <v>0.42499999999999999</v>
      </c>
      <c r="Y46" s="827">
        <v>0.42499999999999999</v>
      </c>
      <c r="Z46" s="827"/>
      <c r="AA46" s="827"/>
      <c r="AB46" s="827"/>
      <c r="AC46" s="827"/>
      <c r="AD46" s="827"/>
      <c r="AE46" s="827"/>
      <c r="AF46" s="827"/>
      <c r="AG46" s="827"/>
      <c r="AH46" s="827"/>
      <c r="AI46" s="827"/>
      <c r="AJ46" s="827"/>
      <c r="AK46" s="827"/>
      <c r="AL46" s="827"/>
      <c r="AM46" s="827"/>
      <c r="AN46" s="827"/>
      <c r="AO46" s="827"/>
      <c r="AP46" s="827"/>
      <c r="AQ46" s="827"/>
      <c r="AR46" s="827"/>
      <c r="AS46" s="827"/>
      <c r="AT46" s="827"/>
      <c r="AU46" s="827"/>
      <c r="AV46" s="827"/>
      <c r="AW46" s="827"/>
      <c r="AX46" s="827"/>
      <c r="AY46" s="827"/>
      <c r="AZ46" s="827"/>
      <c r="BA46" s="827"/>
      <c r="BB46" s="827"/>
      <c r="BC46" s="827"/>
      <c r="BD46" s="827"/>
      <c r="BE46" s="827"/>
      <c r="BF46" s="827"/>
      <c r="BG46" s="827"/>
      <c r="BH46" s="827"/>
      <c r="BI46" s="827"/>
      <c r="BJ46" s="827"/>
      <c r="BK46" s="827"/>
      <c r="BL46" s="827"/>
      <c r="BM46" s="827"/>
      <c r="BN46" s="827"/>
      <c r="BO46" s="827"/>
      <c r="BP46" s="827"/>
      <c r="BQ46" s="827"/>
      <c r="BR46" s="827"/>
      <c r="BS46" s="827"/>
      <c r="BT46" s="827"/>
      <c r="BU46" s="827"/>
      <c r="BV46" s="827"/>
      <c r="BW46" s="827"/>
      <c r="BX46" s="827"/>
      <c r="BY46" s="827"/>
      <c r="BZ46" s="827"/>
      <c r="CA46" s="827"/>
      <c r="CB46" s="827"/>
      <c r="CC46" s="827"/>
      <c r="CD46" s="827"/>
      <c r="CE46" s="827"/>
      <c r="CF46" s="827"/>
      <c r="CG46" s="827"/>
      <c r="CH46" s="827"/>
      <c r="CI46" s="827"/>
      <c r="CJ46" s="827"/>
      <c r="CK46" s="827"/>
      <c r="CL46" s="827"/>
      <c r="CM46" s="827"/>
      <c r="CN46" s="827"/>
      <c r="CO46" s="827"/>
      <c r="CP46" s="827"/>
      <c r="CQ46" s="827"/>
      <c r="CR46" s="827"/>
      <c r="CS46" s="827"/>
      <c r="CT46" s="827"/>
      <c r="CU46" s="827"/>
      <c r="CV46" s="827"/>
      <c r="CW46" s="827"/>
      <c r="CX46" s="827"/>
      <c r="CY46" s="827"/>
      <c r="CZ46" s="827"/>
      <c r="DA46" s="827"/>
      <c r="DB46" s="827"/>
      <c r="DC46" s="827"/>
      <c r="DD46" s="827"/>
      <c r="DE46" s="827"/>
      <c r="DF46" s="827"/>
      <c r="DG46" s="827"/>
      <c r="DH46" s="827"/>
      <c r="DI46" s="827"/>
      <c r="DJ46" s="827"/>
      <c r="DK46" s="827"/>
      <c r="DL46" s="827"/>
      <c r="DM46" s="827"/>
      <c r="DN46" s="827"/>
      <c r="DO46" s="827"/>
      <c r="DP46" s="827"/>
      <c r="DQ46" s="827"/>
      <c r="DR46" s="827"/>
      <c r="DS46" s="827"/>
      <c r="DT46" s="827"/>
      <c r="DU46" s="827"/>
      <c r="DV46" s="827"/>
      <c r="DW46" s="827"/>
      <c r="DX46" s="827"/>
      <c r="DY46" s="827"/>
      <c r="DZ46" s="827"/>
      <c r="EA46" s="827"/>
      <c r="EB46" s="827"/>
      <c r="EC46" s="827"/>
      <c r="ED46" s="827"/>
      <c r="EE46" s="827"/>
      <c r="EF46" s="827"/>
      <c r="EG46" s="827"/>
      <c r="EH46" s="827"/>
      <c r="EI46" s="827"/>
      <c r="EJ46" s="827"/>
      <c r="EK46" s="827"/>
      <c r="EL46" s="827"/>
      <c r="EM46" s="827"/>
      <c r="EN46" s="827"/>
      <c r="EO46" s="827"/>
      <c r="EP46" s="827"/>
      <c r="EQ46" s="827"/>
      <c r="ER46" s="827"/>
      <c r="ES46" s="827"/>
      <c r="ET46" s="827"/>
      <c r="EU46" s="827"/>
      <c r="EV46" s="827"/>
      <c r="EW46" s="827"/>
      <c r="EX46" s="827"/>
      <c r="EY46" s="827"/>
      <c r="EZ46" s="827"/>
      <c r="FA46" s="827"/>
      <c r="FB46" s="827"/>
      <c r="FC46" s="827"/>
      <c r="FD46" s="827"/>
      <c r="FE46" s="827"/>
      <c r="FF46" s="827"/>
      <c r="FG46" s="827"/>
      <c r="FH46" s="827"/>
      <c r="FI46" s="827"/>
      <c r="FJ46" s="827"/>
      <c r="FK46" s="827"/>
      <c r="FL46" s="827"/>
      <c r="FM46" s="827"/>
      <c r="FN46" s="827"/>
      <c r="FO46" s="827"/>
      <c r="FP46" s="827"/>
      <c r="FQ46" s="827"/>
      <c r="FR46" s="827"/>
      <c r="FS46" s="827"/>
      <c r="FT46" s="827"/>
      <c r="FU46" s="827"/>
      <c r="FV46" s="827"/>
      <c r="FW46" s="827"/>
      <c r="FX46" s="827"/>
      <c r="FY46" s="827"/>
      <c r="FZ46" s="827"/>
      <c r="GA46" s="827"/>
      <c r="GB46" s="827"/>
      <c r="GC46" s="827"/>
      <c r="GD46" s="827"/>
      <c r="GE46" s="827"/>
      <c r="GF46" s="827"/>
      <c r="GG46" s="827"/>
      <c r="GH46" s="827"/>
      <c r="GI46" s="827"/>
      <c r="GJ46" s="827"/>
      <c r="GK46" s="827"/>
      <c r="GL46" s="827"/>
      <c r="GM46" s="827"/>
      <c r="GN46" s="827"/>
      <c r="GO46" s="827"/>
      <c r="GP46" s="827"/>
      <c r="GQ46" s="827"/>
      <c r="GR46" s="827"/>
      <c r="GS46" s="827"/>
      <c r="GT46" s="827"/>
      <c r="GU46" s="827"/>
      <c r="GV46" s="827"/>
      <c r="GW46" s="827"/>
      <c r="GX46" s="827"/>
      <c r="GY46" s="827"/>
      <c r="GZ46" s="827"/>
      <c r="HA46" s="827"/>
      <c r="HB46" s="827"/>
      <c r="HC46" s="827"/>
      <c r="HD46" s="828"/>
      <c r="HE46" s="827"/>
      <c r="HF46" s="827"/>
      <c r="HG46" s="829">
        <v>0.42499999999999999</v>
      </c>
    </row>
    <row r="47" spans="1:215" ht="15" customHeight="1" x14ac:dyDescent="0.2">
      <c r="A47" s="463" t="s">
        <v>114</v>
      </c>
      <c r="B47" s="827"/>
      <c r="C47" s="827"/>
      <c r="D47" s="827"/>
      <c r="E47" s="827"/>
      <c r="F47" s="827"/>
      <c r="G47" s="827"/>
      <c r="H47" s="827"/>
      <c r="I47" s="827"/>
      <c r="J47" s="827"/>
      <c r="K47" s="827"/>
      <c r="L47" s="827"/>
      <c r="M47" s="827"/>
      <c r="N47" s="827"/>
      <c r="O47" s="827"/>
      <c r="P47" s="827"/>
      <c r="Q47" s="827"/>
      <c r="R47" s="827"/>
      <c r="S47" s="827"/>
      <c r="T47" s="827"/>
      <c r="U47" s="827"/>
      <c r="V47" s="827"/>
      <c r="W47" s="827"/>
      <c r="X47" s="827"/>
      <c r="Y47" s="827"/>
      <c r="Z47" s="827"/>
      <c r="AA47" s="827"/>
      <c r="AB47" s="827"/>
      <c r="AC47" s="827"/>
      <c r="AD47" s="827"/>
      <c r="AE47" s="827"/>
      <c r="AF47" s="827"/>
      <c r="AG47" s="827"/>
      <c r="AH47" s="827"/>
      <c r="AI47" s="827"/>
      <c r="AJ47" s="827"/>
      <c r="AK47" s="827"/>
      <c r="AL47" s="827"/>
      <c r="AM47" s="827"/>
      <c r="AN47" s="827"/>
      <c r="AO47" s="827"/>
      <c r="AP47" s="827"/>
      <c r="AQ47" s="827"/>
      <c r="AR47" s="827"/>
      <c r="AS47" s="827"/>
      <c r="AT47" s="827"/>
      <c r="AU47" s="827"/>
      <c r="AV47" s="827"/>
      <c r="AW47" s="827"/>
      <c r="AX47" s="827"/>
      <c r="AY47" s="827"/>
      <c r="AZ47" s="827"/>
      <c r="BA47" s="827"/>
      <c r="BB47" s="827"/>
      <c r="BC47" s="827"/>
      <c r="BD47" s="827"/>
      <c r="BE47" s="827"/>
      <c r="BF47" s="827"/>
      <c r="BG47" s="827"/>
      <c r="BH47" s="827"/>
      <c r="BI47" s="827"/>
      <c r="BJ47" s="827"/>
      <c r="BK47" s="827"/>
      <c r="BL47" s="827"/>
      <c r="BM47" s="827"/>
      <c r="BN47" s="827"/>
      <c r="BO47" s="827"/>
      <c r="BP47" s="827"/>
      <c r="BQ47" s="827"/>
      <c r="BR47" s="827"/>
      <c r="BS47" s="827"/>
      <c r="BT47" s="827"/>
      <c r="BU47" s="827"/>
      <c r="BV47" s="827"/>
      <c r="BW47" s="827"/>
      <c r="BX47" s="827"/>
      <c r="BY47" s="827"/>
      <c r="BZ47" s="827"/>
      <c r="CA47" s="827"/>
      <c r="CB47" s="827"/>
      <c r="CC47" s="827"/>
      <c r="CD47" s="827"/>
      <c r="CE47" s="827"/>
      <c r="CF47" s="827"/>
      <c r="CG47" s="827"/>
      <c r="CH47" s="827"/>
      <c r="CI47" s="827"/>
      <c r="CJ47" s="827"/>
      <c r="CK47" s="827"/>
      <c r="CL47" s="827"/>
      <c r="CM47" s="827"/>
      <c r="CN47" s="827"/>
      <c r="CO47" s="827"/>
      <c r="CP47" s="827"/>
      <c r="CQ47" s="827"/>
      <c r="CR47" s="827"/>
      <c r="CS47" s="827">
        <v>13.885</v>
      </c>
      <c r="CT47" s="827">
        <v>13.885</v>
      </c>
      <c r="CU47" s="827">
        <v>13.885</v>
      </c>
      <c r="CV47" s="827"/>
      <c r="CW47" s="827"/>
      <c r="CX47" s="827"/>
      <c r="CY47" s="827"/>
      <c r="CZ47" s="827"/>
      <c r="DA47" s="827"/>
      <c r="DB47" s="827"/>
      <c r="DC47" s="827"/>
      <c r="DD47" s="827"/>
      <c r="DE47" s="827"/>
      <c r="DF47" s="827"/>
      <c r="DG47" s="827"/>
      <c r="DH47" s="827"/>
      <c r="DI47" s="827"/>
      <c r="DJ47" s="827"/>
      <c r="DK47" s="827"/>
      <c r="DL47" s="827"/>
      <c r="DM47" s="827"/>
      <c r="DN47" s="827"/>
      <c r="DO47" s="827"/>
      <c r="DP47" s="827"/>
      <c r="DQ47" s="827"/>
      <c r="DR47" s="827"/>
      <c r="DS47" s="827"/>
      <c r="DT47" s="827"/>
      <c r="DU47" s="827"/>
      <c r="DV47" s="827"/>
      <c r="DW47" s="827"/>
      <c r="DX47" s="827"/>
      <c r="DY47" s="827"/>
      <c r="DZ47" s="827"/>
      <c r="EA47" s="827"/>
      <c r="EB47" s="827"/>
      <c r="EC47" s="827"/>
      <c r="ED47" s="827"/>
      <c r="EE47" s="827"/>
      <c r="EF47" s="827"/>
      <c r="EG47" s="827"/>
      <c r="EH47" s="827"/>
      <c r="EI47" s="827"/>
      <c r="EJ47" s="827"/>
      <c r="EK47" s="827"/>
      <c r="EL47" s="827"/>
      <c r="EM47" s="827"/>
      <c r="EN47" s="827"/>
      <c r="EO47" s="827"/>
      <c r="EP47" s="827"/>
      <c r="EQ47" s="827"/>
      <c r="ER47" s="827"/>
      <c r="ES47" s="827"/>
      <c r="ET47" s="827"/>
      <c r="EU47" s="827"/>
      <c r="EV47" s="827"/>
      <c r="EW47" s="827"/>
      <c r="EX47" s="827"/>
      <c r="EY47" s="827"/>
      <c r="EZ47" s="827"/>
      <c r="FA47" s="827"/>
      <c r="FB47" s="827"/>
      <c r="FC47" s="827"/>
      <c r="FD47" s="827"/>
      <c r="FE47" s="827"/>
      <c r="FF47" s="827"/>
      <c r="FG47" s="827"/>
      <c r="FH47" s="827"/>
      <c r="FI47" s="827"/>
      <c r="FJ47" s="827"/>
      <c r="FK47" s="827"/>
      <c r="FL47" s="827"/>
      <c r="FM47" s="827"/>
      <c r="FN47" s="827"/>
      <c r="FO47" s="827"/>
      <c r="FP47" s="827"/>
      <c r="FQ47" s="827"/>
      <c r="FR47" s="827"/>
      <c r="FS47" s="827"/>
      <c r="FT47" s="827"/>
      <c r="FU47" s="827"/>
      <c r="FV47" s="827"/>
      <c r="FW47" s="827"/>
      <c r="FX47" s="827"/>
      <c r="FY47" s="827"/>
      <c r="FZ47" s="827"/>
      <c r="GA47" s="827"/>
      <c r="GB47" s="827"/>
      <c r="GC47" s="827"/>
      <c r="GD47" s="827"/>
      <c r="GE47" s="827"/>
      <c r="GF47" s="827"/>
      <c r="GG47" s="827"/>
      <c r="GH47" s="827"/>
      <c r="GI47" s="827"/>
      <c r="GJ47" s="827"/>
      <c r="GK47" s="827"/>
      <c r="GL47" s="827"/>
      <c r="GM47" s="827"/>
      <c r="GN47" s="827"/>
      <c r="GO47" s="827"/>
      <c r="GP47" s="827"/>
      <c r="GQ47" s="827"/>
      <c r="GR47" s="827"/>
      <c r="GS47" s="827"/>
      <c r="GT47" s="827"/>
      <c r="GU47" s="827"/>
      <c r="GV47" s="827"/>
      <c r="GW47" s="827"/>
      <c r="GX47" s="827"/>
      <c r="GY47" s="827"/>
      <c r="GZ47" s="827"/>
      <c r="HA47" s="827"/>
      <c r="HB47" s="827"/>
      <c r="HC47" s="827"/>
      <c r="HD47" s="828"/>
      <c r="HE47" s="827"/>
      <c r="HF47" s="827"/>
      <c r="HG47" s="829">
        <v>13.885</v>
      </c>
    </row>
    <row r="48" spans="1:215" ht="15" customHeight="1" x14ac:dyDescent="0.2">
      <c r="A48" s="463" t="s">
        <v>56</v>
      </c>
      <c r="B48" s="827"/>
      <c r="C48" s="827"/>
      <c r="D48" s="827"/>
      <c r="E48" s="827"/>
      <c r="F48" s="827"/>
      <c r="G48" s="827"/>
      <c r="H48" s="827"/>
      <c r="I48" s="827"/>
      <c r="J48" s="827"/>
      <c r="K48" s="827"/>
      <c r="L48" s="827"/>
      <c r="M48" s="827"/>
      <c r="N48" s="827"/>
      <c r="O48" s="827"/>
      <c r="P48" s="827"/>
      <c r="Q48" s="827"/>
      <c r="R48" s="827"/>
      <c r="S48" s="827"/>
      <c r="T48" s="827"/>
      <c r="U48" s="827"/>
      <c r="V48" s="827"/>
      <c r="W48" s="827"/>
      <c r="X48" s="827"/>
      <c r="Y48" s="827"/>
      <c r="Z48" s="827"/>
      <c r="AA48" s="827"/>
      <c r="AB48" s="827"/>
      <c r="AC48" s="827"/>
      <c r="AD48" s="827"/>
      <c r="AE48" s="827"/>
      <c r="AF48" s="827"/>
      <c r="AG48" s="827"/>
      <c r="AH48" s="827"/>
      <c r="AI48" s="827"/>
      <c r="AJ48" s="827"/>
      <c r="AK48" s="827"/>
      <c r="AL48" s="827"/>
      <c r="AM48" s="827"/>
      <c r="AN48" s="827"/>
      <c r="AO48" s="827"/>
      <c r="AP48" s="827"/>
      <c r="AQ48" s="827"/>
      <c r="AR48" s="827"/>
      <c r="AS48" s="827"/>
      <c r="AT48" s="827"/>
      <c r="AU48" s="827"/>
      <c r="AV48" s="827"/>
      <c r="AW48" s="827"/>
      <c r="AX48" s="827"/>
      <c r="AY48" s="827"/>
      <c r="AZ48" s="827"/>
      <c r="BA48" s="827"/>
      <c r="BB48" s="827"/>
      <c r="BC48" s="827"/>
      <c r="BD48" s="827"/>
      <c r="BE48" s="827"/>
      <c r="BF48" s="827"/>
      <c r="BG48" s="827"/>
      <c r="BH48" s="827"/>
      <c r="BI48" s="827"/>
      <c r="BJ48" s="827"/>
      <c r="BK48" s="827"/>
      <c r="BL48" s="827"/>
      <c r="BM48" s="827"/>
      <c r="BN48" s="827"/>
      <c r="BO48" s="827"/>
      <c r="BP48" s="827"/>
      <c r="BQ48" s="827"/>
      <c r="BR48" s="827"/>
      <c r="BS48" s="827"/>
      <c r="BT48" s="827"/>
      <c r="BU48" s="827"/>
      <c r="BV48" s="827"/>
      <c r="BW48" s="827"/>
      <c r="BX48" s="827"/>
      <c r="BY48" s="827"/>
      <c r="BZ48" s="827"/>
      <c r="CA48" s="827"/>
      <c r="CB48" s="827"/>
      <c r="CC48" s="827"/>
      <c r="CD48" s="827"/>
      <c r="CE48" s="827"/>
      <c r="CF48" s="827"/>
      <c r="CG48" s="827"/>
      <c r="CH48" s="827"/>
      <c r="CI48" s="827"/>
      <c r="CJ48" s="827"/>
      <c r="CK48" s="827"/>
      <c r="CL48" s="827"/>
      <c r="CM48" s="827"/>
      <c r="CN48" s="827"/>
      <c r="CO48" s="827"/>
      <c r="CP48" s="827"/>
      <c r="CQ48" s="827"/>
      <c r="CR48" s="827"/>
      <c r="CS48" s="827"/>
      <c r="CT48" s="827"/>
      <c r="CU48" s="827"/>
      <c r="CV48" s="827"/>
      <c r="CW48" s="827"/>
      <c r="CX48" s="827"/>
      <c r="CY48" s="827"/>
      <c r="CZ48" s="827"/>
      <c r="DA48" s="827"/>
      <c r="DB48" s="827"/>
      <c r="DC48" s="827"/>
      <c r="DD48" s="827"/>
      <c r="DE48" s="827"/>
      <c r="DF48" s="827"/>
      <c r="DG48" s="827"/>
      <c r="DH48" s="827"/>
      <c r="DI48" s="827"/>
      <c r="DJ48" s="827"/>
      <c r="DK48" s="827"/>
      <c r="DL48" s="827"/>
      <c r="DM48" s="827"/>
      <c r="DN48" s="827"/>
      <c r="DO48" s="827"/>
      <c r="DP48" s="827"/>
      <c r="DQ48" s="827"/>
      <c r="DR48" s="827"/>
      <c r="DS48" s="827"/>
      <c r="DT48" s="827"/>
      <c r="DU48" s="827"/>
      <c r="DV48" s="827"/>
      <c r="DW48" s="827"/>
      <c r="DX48" s="827"/>
      <c r="DY48" s="827"/>
      <c r="DZ48" s="827"/>
      <c r="EA48" s="827"/>
      <c r="EB48" s="827"/>
      <c r="EC48" s="827"/>
      <c r="ED48" s="827"/>
      <c r="EE48" s="827"/>
      <c r="EF48" s="827"/>
      <c r="EG48" s="827"/>
      <c r="EH48" s="827"/>
      <c r="EI48" s="827"/>
      <c r="EJ48" s="827"/>
      <c r="EK48" s="827"/>
      <c r="EL48" s="827"/>
      <c r="EM48" s="827"/>
      <c r="EN48" s="827"/>
      <c r="EO48" s="827"/>
      <c r="EP48" s="827"/>
      <c r="EQ48" s="827"/>
      <c r="ER48" s="827"/>
      <c r="ES48" s="827"/>
      <c r="ET48" s="827"/>
      <c r="EU48" s="827"/>
      <c r="EV48" s="827"/>
      <c r="EW48" s="827"/>
      <c r="EX48" s="827"/>
      <c r="EY48" s="827"/>
      <c r="EZ48" s="827"/>
      <c r="FA48" s="827"/>
      <c r="FB48" s="827"/>
      <c r="FC48" s="827"/>
      <c r="FD48" s="827"/>
      <c r="FE48" s="827"/>
      <c r="FF48" s="827"/>
      <c r="FG48" s="827"/>
      <c r="FH48" s="827"/>
      <c r="FI48" s="827"/>
      <c r="FJ48" s="827"/>
      <c r="FK48" s="827"/>
      <c r="FL48" s="827"/>
      <c r="FM48" s="827"/>
      <c r="FN48" s="827"/>
      <c r="FO48" s="827"/>
      <c r="FP48" s="827"/>
      <c r="FQ48" s="827"/>
      <c r="FR48" s="827"/>
      <c r="FS48" s="827">
        <v>932.32752303617985</v>
      </c>
      <c r="FT48" s="827">
        <v>932.32752303617985</v>
      </c>
      <c r="FU48" s="827">
        <v>932.32752303617985</v>
      </c>
      <c r="FV48" s="827"/>
      <c r="FW48" s="827"/>
      <c r="FX48" s="827"/>
      <c r="FY48" s="827"/>
      <c r="FZ48" s="827"/>
      <c r="GA48" s="827"/>
      <c r="GB48" s="827"/>
      <c r="GC48" s="827"/>
      <c r="GD48" s="827"/>
      <c r="GE48" s="827"/>
      <c r="GF48" s="827"/>
      <c r="GG48" s="827"/>
      <c r="GH48" s="827"/>
      <c r="GI48" s="827"/>
      <c r="GJ48" s="827"/>
      <c r="GK48" s="827"/>
      <c r="GL48" s="827"/>
      <c r="GM48" s="827"/>
      <c r="GN48" s="827"/>
      <c r="GO48" s="827"/>
      <c r="GP48" s="827"/>
      <c r="GQ48" s="827"/>
      <c r="GR48" s="827"/>
      <c r="GS48" s="827"/>
      <c r="GT48" s="827"/>
      <c r="GU48" s="827"/>
      <c r="GV48" s="827"/>
      <c r="GW48" s="827"/>
      <c r="GX48" s="827"/>
      <c r="GY48" s="827"/>
      <c r="GZ48" s="827"/>
      <c r="HA48" s="827"/>
      <c r="HB48" s="827"/>
      <c r="HC48" s="827"/>
      <c r="HD48" s="828"/>
      <c r="HE48" s="827"/>
      <c r="HF48" s="827"/>
      <c r="HG48" s="829">
        <v>932.32752303617985</v>
      </c>
    </row>
    <row r="49" spans="1:215" ht="15" customHeight="1" x14ac:dyDescent="0.2">
      <c r="A49" s="463" t="s">
        <v>52</v>
      </c>
      <c r="B49" s="827"/>
      <c r="C49" s="827"/>
      <c r="D49" s="827"/>
      <c r="E49" s="827"/>
      <c r="F49" s="827"/>
      <c r="G49" s="827"/>
      <c r="H49" s="827"/>
      <c r="I49" s="827"/>
      <c r="J49" s="827"/>
      <c r="K49" s="827"/>
      <c r="L49" s="827"/>
      <c r="M49" s="827"/>
      <c r="N49" s="827"/>
      <c r="O49" s="827"/>
      <c r="P49" s="827"/>
      <c r="Q49" s="827"/>
      <c r="R49" s="827"/>
      <c r="S49" s="827"/>
      <c r="T49" s="827"/>
      <c r="U49" s="827"/>
      <c r="V49" s="827"/>
      <c r="W49" s="827"/>
      <c r="X49" s="827"/>
      <c r="Y49" s="827"/>
      <c r="Z49" s="827"/>
      <c r="AA49" s="827"/>
      <c r="AB49" s="827"/>
      <c r="AC49" s="827"/>
      <c r="AD49" s="827"/>
      <c r="AE49" s="827"/>
      <c r="AF49" s="827"/>
      <c r="AG49" s="827"/>
      <c r="AH49" s="827"/>
      <c r="AI49" s="827"/>
      <c r="AJ49" s="827"/>
      <c r="AK49" s="827"/>
      <c r="AL49" s="827"/>
      <c r="AM49" s="827"/>
      <c r="AN49" s="827"/>
      <c r="AO49" s="827"/>
      <c r="AP49" s="827"/>
      <c r="AQ49" s="827"/>
      <c r="AR49" s="827"/>
      <c r="AS49" s="827"/>
      <c r="AT49" s="827"/>
      <c r="AU49" s="827"/>
      <c r="AV49" s="827"/>
      <c r="AW49" s="827"/>
      <c r="AX49" s="827"/>
      <c r="AY49" s="827"/>
      <c r="AZ49" s="827"/>
      <c r="BA49" s="827"/>
      <c r="BB49" s="827"/>
      <c r="BC49" s="827"/>
      <c r="BD49" s="827"/>
      <c r="BE49" s="827"/>
      <c r="BF49" s="827"/>
      <c r="BG49" s="827"/>
      <c r="BH49" s="827"/>
      <c r="BI49" s="827"/>
      <c r="BJ49" s="827"/>
      <c r="BK49" s="827"/>
      <c r="BL49" s="827"/>
      <c r="BM49" s="827"/>
      <c r="BN49" s="827"/>
      <c r="BO49" s="827"/>
      <c r="BP49" s="827"/>
      <c r="BQ49" s="827"/>
      <c r="BR49" s="827"/>
      <c r="BS49" s="827"/>
      <c r="BT49" s="827"/>
      <c r="BU49" s="827"/>
      <c r="BV49" s="827"/>
      <c r="BW49" s="827"/>
      <c r="BX49" s="827"/>
      <c r="BY49" s="827"/>
      <c r="BZ49" s="827"/>
      <c r="CA49" s="827"/>
      <c r="CB49" s="827"/>
      <c r="CC49" s="827"/>
      <c r="CD49" s="827"/>
      <c r="CE49" s="827"/>
      <c r="CF49" s="827"/>
      <c r="CG49" s="827"/>
      <c r="CH49" s="827"/>
      <c r="CI49" s="827"/>
      <c r="CJ49" s="827"/>
      <c r="CK49" s="827"/>
      <c r="CL49" s="827"/>
      <c r="CM49" s="827"/>
      <c r="CN49" s="827"/>
      <c r="CO49" s="827"/>
      <c r="CP49" s="827"/>
      <c r="CQ49" s="827"/>
      <c r="CR49" s="827"/>
      <c r="CS49" s="827"/>
      <c r="CT49" s="827"/>
      <c r="CU49" s="827"/>
      <c r="CV49" s="827"/>
      <c r="CW49" s="827"/>
      <c r="CX49" s="827"/>
      <c r="CY49" s="827"/>
      <c r="CZ49" s="827"/>
      <c r="DA49" s="827"/>
      <c r="DB49" s="827"/>
      <c r="DC49" s="827"/>
      <c r="DD49" s="827"/>
      <c r="DE49" s="827"/>
      <c r="DF49" s="827"/>
      <c r="DG49" s="827"/>
      <c r="DH49" s="827"/>
      <c r="DI49" s="827"/>
      <c r="DJ49" s="827"/>
      <c r="DK49" s="827"/>
      <c r="DL49" s="827"/>
      <c r="DM49" s="827"/>
      <c r="DN49" s="827"/>
      <c r="DO49" s="827"/>
      <c r="DP49" s="827"/>
      <c r="DQ49" s="827"/>
      <c r="DR49" s="827"/>
      <c r="DS49" s="827"/>
      <c r="DT49" s="827"/>
      <c r="DU49" s="827"/>
      <c r="DV49" s="827"/>
      <c r="DW49" s="827"/>
      <c r="DX49" s="827"/>
      <c r="DY49" s="827"/>
      <c r="DZ49" s="827"/>
      <c r="EA49" s="827"/>
      <c r="EB49" s="827"/>
      <c r="EC49" s="827"/>
      <c r="ED49" s="827"/>
      <c r="EE49" s="827"/>
      <c r="EF49" s="827"/>
      <c r="EG49" s="827"/>
      <c r="EH49" s="827"/>
      <c r="EI49" s="827"/>
      <c r="EJ49" s="827"/>
      <c r="EK49" s="827"/>
      <c r="EL49" s="827"/>
      <c r="EM49" s="827"/>
      <c r="EN49" s="827"/>
      <c r="EO49" s="827"/>
      <c r="EP49" s="827"/>
      <c r="EQ49" s="827"/>
      <c r="ER49" s="827"/>
      <c r="ES49" s="827"/>
      <c r="ET49" s="827"/>
      <c r="EU49" s="827"/>
      <c r="EV49" s="827"/>
      <c r="EW49" s="827"/>
      <c r="EX49" s="827"/>
      <c r="EY49" s="827"/>
      <c r="EZ49" s="827"/>
      <c r="FA49" s="827"/>
      <c r="FB49" s="827"/>
      <c r="FC49" s="827"/>
      <c r="FD49" s="827"/>
      <c r="FE49" s="827"/>
      <c r="FF49" s="827"/>
      <c r="FG49" s="827"/>
      <c r="FH49" s="827"/>
      <c r="FI49" s="827"/>
      <c r="FJ49" s="827"/>
      <c r="FK49" s="827"/>
      <c r="FL49" s="827"/>
      <c r="FM49" s="827"/>
      <c r="FN49" s="827"/>
      <c r="FO49" s="827"/>
      <c r="FP49" s="827"/>
      <c r="FQ49" s="827"/>
      <c r="FR49" s="827"/>
      <c r="FS49" s="827"/>
      <c r="FT49" s="827"/>
      <c r="FU49" s="827"/>
      <c r="FV49" s="827"/>
      <c r="FW49" s="827"/>
      <c r="FX49" s="827"/>
      <c r="FY49" s="827"/>
      <c r="FZ49" s="827"/>
      <c r="GA49" s="827"/>
      <c r="GB49" s="827"/>
      <c r="GC49" s="827"/>
      <c r="GD49" s="827"/>
      <c r="GE49" s="827"/>
      <c r="GF49" s="827"/>
      <c r="GG49" s="827"/>
      <c r="GH49" s="827">
        <v>0</v>
      </c>
      <c r="GI49" s="827">
        <v>0</v>
      </c>
      <c r="GJ49" s="827">
        <v>0</v>
      </c>
      <c r="GK49" s="827"/>
      <c r="GL49" s="827"/>
      <c r="GM49" s="827"/>
      <c r="GN49" s="827"/>
      <c r="GO49" s="827"/>
      <c r="GP49" s="827"/>
      <c r="GQ49" s="827"/>
      <c r="GR49" s="827"/>
      <c r="GS49" s="827"/>
      <c r="GT49" s="827"/>
      <c r="GU49" s="827"/>
      <c r="GV49" s="827"/>
      <c r="GW49" s="827"/>
      <c r="GX49" s="827"/>
      <c r="GY49" s="827"/>
      <c r="GZ49" s="827"/>
      <c r="HA49" s="827"/>
      <c r="HB49" s="827"/>
      <c r="HC49" s="827"/>
      <c r="HD49" s="828"/>
      <c r="HE49" s="827"/>
      <c r="HF49" s="827"/>
      <c r="HG49" s="829">
        <v>0</v>
      </c>
    </row>
    <row r="50" spans="1:215" ht="15" customHeight="1" x14ac:dyDescent="0.2">
      <c r="A50" s="463" t="s">
        <v>138</v>
      </c>
      <c r="B50" s="827"/>
      <c r="C50" s="827"/>
      <c r="D50" s="827"/>
      <c r="E50" s="827"/>
      <c r="F50" s="827"/>
      <c r="G50" s="827"/>
      <c r="H50" s="827"/>
      <c r="I50" s="827"/>
      <c r="J50" s="827"/>
      <c r="K50" s="827"/>
      <c r="L50" s="827"/>
      <c r="M50" s="827"/>
      <c r="N50" s="827"/>
      <c r="O50" s="827"/>
      <c r="P50" s="827"/>
      <c r="Q50" s="827"/>
      <c r="R50" s="827"/>
      <c r="S50" s="827"/>
      <c r="T50" s="827"/>
      <c r="U50" s="827"/>
      <c r="V50" s="827"/>
      <c r="W50" s="827"/>
      <c r="X50" s="827"/>
      <c r="Y50" s="827"/>
      <c r="Z50" s="827"/>
      <c r="AA50" s="827"/>
      <c r="AB50" s="827"/>
      <c r="AC50" s="827"/>
      <c r="AD50" s="827"/>
      <c r="AE50" s="827"/>
      <c r="AF50" s="827"/>
      <c r="AG50" s="827"/>
      <c r="AH50" s="827"/>
      <c r="AI50" s="827"/>
      <c r="AJ50" s="827"/>
      <c r="AK50" s="827"/>
      <c r="AL50" s="827"/>
      <c r="AM50" s="827"/>
      <c r="AN50" s="827"/>
      <c r="AO50" s="827"/>
      <c r="AP50" s="827"/>
      <c r="AQ50" s="827"/>
      <c r="AR50" s="827"/>
      <c r="AS50" s="827"/>
      <c r="AT50" s="827"/>
      <c r="AU50" s="827"/>
      <c r="AV50" s="827"/>
      <c r="AW50" s="827"/>
      <c r="AX50" s="827"/>
      <c r="AY50" s="827"/>
      <c r="AZ50" s="827"/>
      <c r="BA50" s="827"/>
      <c r="BB50" s="827"/>
      <c r="BC50" s="827"/>
      <c r="BD50" s="827"/>
      <c r="BE50" s="827"/>
      <c r="BF50" s="827"/>
      <c r="BG50" s="827"/>
      <c r="BH50" s="827"/>
      <c r="BI50" s="827"/>
      <c r="BJ50" s="827"/>
      <c r="BK50" s="827"/>
      <c r="BL50" s="827"/>
      <c r="BM50" s="827"/>
      <c r="BN50" s="827"/>
      <c r="BO50" s="827"/>
      <c r="BP50" s="827"/>
      <c r="BQ50" s="827"/>
      <c r="BR50" s="827"/>
      <c r="BS50" s="827"/>
      <c r="BT50" s="827"/>
      <c r="BU50" s="827"/>
      <c r="BV50" s="827"/>
      <c r="BW50" s="827"/>
      <c r="BX50" s="827"/>
      <c r="BY50" s="827"/>
      <c r="BZ50" s="827"/>
      <c r="CA50" s="827"/>
      <c r="CB50" s="827"/>
      <c r="CC50" s="827"/>
      <c r="CD50" s="827"/>
      <c r="CE50" s="827"/>
      <c r="CF50" s="827"/>
      <c r="CG50" s="827"/>
      <c r="CH50" s="827"/>
      <c r="CI50" s="827"/>
      <c r="CJ50" s="827"/>
      <c r="CK50" s="827"/>
      <c r="CL50" s="827"/>
      <c r="CM50" s="827"/>
      <c r="CN50" s="827"/>
      <c r="CO50" s="827"/>
      <c r="CP50" s="827"/>
      <c r="CQ50" s="827"/>
      <c r="CR50" s="827"/>
      <c r="CS50" s="827"/>
      <c r="CT50" s="827"/>
      <c r="CU50" s="827"/>
      <c r="CV50" s="827">
        <v>14.629276256481079</v>
      </c>
      <c r="CW50" s="827">
        <v>14.629276256481079</v>
      </c>
      <c r="CX50" s="827">
        <v>14.629276256481079</v>
      </c>
      <c r="CY50" s="827"/>
      <c r="CZ50" s="827"/>
      <c r="DA50" s="827"/>
      <c r="DB50" s="827"/>
      <c r="DC50" s="827"/>
      <c r="DD50" s="827"/>
      <c r="DE50" s="827"/>
      <c r="DF50" s="827"/>
      <c r="DG50" s="827"/>
      <c r="DH50" s="827"/>
      <c r="DI50" s="827"/>
      <c r="DJ50" s="827"/>
      <c r="DK50" s="827"/>
      <c r="DL50" s="827"/>
      <c r="DM50" s="827"/>
      <c r="DN50" s="827"/>
      <c r="DO50" s="827"/>
      <c r="DP50" s="827"/>
      <c r="DQ50" s="827"/>
      <c r="DR50" s="827"/>
      <c r="DS50" s="827"/>
      <c r="DT50" s="827"/>
      <c r="DU50" s="827"/>
      <c r="DV50" s="827"/>
      <c r="DW50" s="827"/>
      <c r="DX50" s="827"/>
      <c r="DY50" s="827"/>
      <c r="DZ50" s="827"/>
      <c r="EA50" s="827"/>
      <c r="EB50" s="827"/>
      <c r="EC50" s="827"/>
      <c r="ED50" s="827"/>
      <c r="EE50" s="827"/>
      <c r="EF50" s="827"/>
      <c r="EG50" s="827"/>
      <c r="EH50" s="827"/>
      <c r="EI50" s="827"/>
      <c r="EJ50" s="827"/>
      <c r="EK50" s="827"/>
      <c r="EL50" s="827"/>
      <c r="EM50" s="827"/>
      <c r="EN50" s="827"/>
      <c r="EO50" s="827"/>
      <c r="EP50" s="827"/>
      <c r="EQ50" s="827"/>
      <c r="ER50" s="827"/>
      <c r="ES50" s="827"/>
      <c r="ET50" s="827"/>
      <c r="EU50" s="827"/>
      <c r="EV50" s="827"/>
      <c r="EW50" s="827"/>
      <c r="EX50" s="827"/>
      <c r="EY50" s="827"/>
      <c r="EZ50" s="827"/>
      <c r="FA50" s="827"/>
      <c r="FB50" s="827"/>
      <c r="FC50" s="827"/>
      <c r="FD50" s="827"/>
      <c r="FE50" s="827"/>
      <c r="FF50" s="827"/>
      <c r="FG50" s="827"/>
      <c r="FH50" s="827"/>
      <c r="FI50" s="827"/>
      <c r="FJ50" s="827"/>
      <c r="FK50" s="827"/>
      <c r="FL50" s="827"/>
      <c r="FM50" s="827"/>
      <c r="FN50" s="827"/>
      <c r="FO50" s="827"/>
      <c r="FP50" s="827"/>
      <c r="FQ50" s="827"/>
      <c r="FR50" s="827"/>
      <c r="FS50" s="827"/>
      <c r="FT50" s="827"/>
      <c r="FU50" s="827"/>
      <c r="FV50" s="827"/>
      <c r="FW50" s="827"/>
      <c r="FX50" s="827"/>
      <c r="FY50" s="827"/>
      <c r="FZ50" s="827"/>
      <c r="GA50" s="827"/>
      <c r="GB50" s="827"/>
      <c r="GC50" s="827"/>
      <c r="GD50" s="827"/>
      <c r="GE50" s="827"/>
      <c r="GF50" s="827"/>
      <c r="GG50" s="827"/>
      <c r="GH50" s="827"/>
      <c r="GI50" s="827"/>
      <c r="GJ50" s="827"/>
      <c r="GK50" s="827"/>
      <c r="GL50" s="827"/>
      <c r="GM50" s="827"/>
      <c r="GN50" s="827"/>
      <c r="GO50" s="827"/>
      <c r="GP50" s="827"/>
      <c r="GQ50" s="827"/>
      <c r="GR50" s="827"/>
      <c r="GS50" s="827"/>
      <c r="GT50" s="827"/>
      <c r="GU50" s="827"/>
      <c r="GV50" s="827"/>
      <c r="GW50" s="827"/>
      <c r="GX50" s="827"/>
      <c r="GY50" s="827"/>
      <c r="GZ50" s="827"/>
      <c r="HA50" s="827"/>
      <c r="HB50" s="827"/>
      <c r="HC50" s="827"/>
      <c r="HD50" s="828"/>
      <c r="HE50" s="827"/>
      <c r="HF50" s="827"/>
      <c r="HG50" s="829">
        <v>14.629276256481079</v>
      </c>
    </row>
    <row r="51" spans="1:215" ht="15" customHeight="1" x14ac:dyDescent="0.2">
      <c r="A51" s="463" t="s">
        <v>108</v>
      </c>
      <c r="B51" s="827"/>
      <c r="C51" s="827"/>
      <c r="D51" s="827"/>
      <c r="E51" s="827"/>
      <c r="F51" s="827"/>
      <c r="G51" s="827"/>
      <c r="H51" s="827"/>
      <c r="I51" s="827"/>
      <c r="J51" s="827"/>
      <c r="K51" s="827"/>
      <c r="L51" s="827"/>
      <c r="M51" s="827"/>
      <c r="N51" s="827"/>
      <c r="O51" s="827"/>
      <c r="P51" s="827"/>
      <c r="Q51" s="827"/>
      <c r="R51" s="827"/>
      <c r="S51" s="827"/>
      <c r="T51" s="827"/>
      <c r="U51" s="827"/>
      <c r="V51" s="827"/>
      <c r="W51" s="827">
        <v>0.42499999999999999</v>
      </c>
      <c r="X51" s="827">
        <v>0.42499999999999999</v>
      </c>
      <c r="Y51" s="827">
        <v>0.42499999999999999</v>
      </c>
      <c r="Z51" s="827"/>
      <c r="AA51" s="827"/>
      <c r="AB51" s="827"/>
      <c r="AC51" s="827"/>
      <c r="AD51" s="827"/>
      <c r="AE51" s="827"/>
      <c r="AF51" s="827"/>
      <c r="AG51" s="827"/>
      <c r="AH51" s="827"/>
      <c r="AI51" s="827"/>
      <c r="AJ51" s="827"/>
      <c r="AK51" s="827"/>
      <c r="AL51" s="827"/>
      <c r="AM51" s="827"/>
      <c r="AN51" s="827"/>
      <c r="AO51" s="827"/>
      <c r="AP51" s="827"/>
      <c r="AQ51" s="827"/>
      <c r="AR51" s="827"/>
      <c r="AS51" s="827"/>
      <c r="AT51" s="827"/>
      <c r="AU51" s="827"/>
      <c r="AV51" s="827"/>
      <c r="AW51" s="827"/>
      <c r="AX51" s="827"/>
      <c r="AY51" s="827"/>
      <c r="AZ51" s="827"/>
      <c r="BA51" s="827"/>
      <c r="BB51" s="827"/>
      <c r="BC51" s="827"/>
      <c r="BD51" s="827"/>
      <c r="BE51" s="827"/>
      <c r="BF51" s="827"/>
      <c r="BG51" s="827"/>
      <c r="BH51" s="827"/>
      <c r="BI51" s="827"/>
      <c r="BJ51" s="827"/>
      <c r="BK51" s="827"/>
      <c r="BL51" s="827"/>
      <c r="BM51" s="827"/>
      <c r="BN51" s="827"/>
      <c r="BO51" s="827"/>
      <c r="BP51" s="827"/>
      <c r="BQ51" s="827"/>
      <c r="BR51" s="827"/>
      <c r="BS51" s="827"/>
      <c r="BT51" s="827"/>
      <c r="BU51" s="827"/>
      <c r="BV51" s="827"/>
      <c r="BW51" s="827"/>
      <c r="BX51" s="827"/>
      <c r="BY51" s="827"/>
      <c r="BZ51" s="827"/>
      <c r="CA51" s="827"/>
      <c r="CB51" s="827"/>
      <c r="CC51" s="827"/>
      <c r="CD51" s="827"/>
      <c r="CE51" s="827"/>
      <c r="CF51" s="827"/>
      <c r="CG51" s="827"/>
      <c r="CH51" s="827"/>
      <c r="CI51" s="827"/>
      <c r="CJ51" s="827"/>
      <c r="CK51" s="827"/>
      <c r="CL51" s="827"/>
      <c r="CM51" s="827"/>
      <c r="CN51" s="827"/>
      <c r="CO51" s="827"/>
      <c r="CP51" s="827"/>
      <c r="CQ51" s="827"/>
      <c r="CR51" s="827"/>
      <c r="CS51" s="827"/>
      <c r="CT51" s="827"/>
      <c r="CU51" s="827"/>
      <c r="CV51" s="827"/>
      <c r="CW51" s="827"/>
      <c r="CX51" s="827"/>
      <c r="CY51" s="827"/>
      <c r="CZ51" s="827"/>
      <c r="DA51" s="827"/>
      <c r="DB51" s="827"/>
      <c r="DC51" s="827"/>
      <c r="DD51" s="827"/>
      <c r="DE51" s="827"/>
      <c r="DF51" s="827"/>
      <c r="DG51" s="827"/>
      <c r="DH51" s="827"/>
      <c r="DI51" s="827"/>
      <c r="DJ51" s="827"/>
      <c r="DK51" s="827"/>
      <c r="DL51" s="827"/>
      <c r="DM51" s="827"/>
      <c r="DN51" s="827"/>
      <c r="DO51" s="827"/>
      <c r="DP51" s="827"/>
      <c r="DQ51" s="827"/>
      <c r="DR51" s="827"/>
      <c r="DS51" s="827"/>
      <c r="DT51" s="827"/>
      <c r="DU51" s="827"/>
      <c r="DV51" s="827"/>
      <c r="DW51" s="827"/>
      <c r="DX51" s="827"/>
      <c r="DY51" s="827"/>
      <c r="DZ51" s="827"/>
      <c r="EA51" s="827"/>
      <c r="EB51" s="827"/>
      <c r="EC51" s="827"/>
      <c r="ED51" s="827"/>
      <c r="EE51" s="827"/>
      <c r="EF51" s="827"/>
      <c r="EG51" s="827"/>
      <c r="EH51" s="827"/>
      <c r="EI51" s="827"/>
      <c r="EJ51" s="827"/>
      <c r="EK51" s="827"/>
      <c r="EL51" s="827"/>
      <c r="EM51" s="827"/>
      <c r="EN51" s="827"/>
      <c r="EO51" s="827"/>
      <c r="EP51" s="827"/>
      <c r="EQ51" s="827"/>
      <c r="ER51" s="827"/>
      <c r="ES51" s="827"/>
      <c r="ET51" s="827"/>
      <c r="EU51" s="827"/>
      <c r="EV51" s="827"/>
      <c r="EW51" s="827"/>
      <c r="EX51" s="827"/>
      <c r="EY51" s="827"/>
      <c r="EZ51" s="827"/>
      <c r="FA51" s="827"/>
      <c r="FB51" s="827"/>
      <c r="FC51" s="827"/>
      <c r="FD51" s="827"/>
      <c r="FE51" s="827"/>
      <c r="FF51" s="827"/>
      <c r="FG51" s="827"/>
      <c r="FH51" s="827"/>
      <c r="FI51" s="827"/>
      <c r="FJ51" s="827"/>
      <c r="FK51" s="827"/>
      <c r="FL51" s="827"/>
      <c r="FM51" s="827"/>
      <c r="FN51" s="827"/>
      <c r="FO51" s="827"/>
      <c r="FP51" s="827"/>
      <c r="FQ51" s="827"/>
      <c r="FR51" s="827"/>
      <c r="FS51" s="827"/>
      <c r="FT51" s="827"/>
      <c r="FU51" s="827"/>
      <c r="FV51" s="827"/>
      <c r="FW51" s="827"/>
      <c r="FX51" s="827"/>
      <c r="FY51" s="827"/>
      <c r="FZ51" s="827"/>
      <c r="GA51" s="827"/>
      <c r="GB51" s="827"/>
      <c r="GC51" s="827"/>
      <c r="GD51" s="827"/>
      <c r="GE51" s="827"/>
      <c r="GF51" s="827"/>
      <c r="GG51" s="827"/>
      <c r="GH51" s="827"/>
      <c r="GI51" s="827"/>
      <c r="GJ51" s="827"/>
      <c r="GK51" s="827"/>
      <c r="GL51" s="827"/>
      <c r="GM51" s="827"/>
      <c r="GN51" s="827"/>
      <c r="GO51" s="827"/>
      <c r="GP51" s="827"/>
      <c r="GQ51" s="827"/>
      <c r="GR51" s="827"/>
      <c r="GS51" s="827"/>
      <c r="GT51" s="827"/>
      <c r="GU51" s="827"/>
      <c r="GV51" s="827"/>
      <c r="GW51" s="827"/>
      <c r="GX51" s="827"/>
      <c r="GY51" s="827"/>
      <c r="GZ51" s="827"/>
      <c r="HA51" s="827"/>
      <c r="HB51" s="827"/>
      <c r="HC51" s="827"/>
      <c r="HD51" s="828"/>
      <c r="HE51" s="827"/>
      <c r="HF51" s="827"/>
      <c r="HG51" s="829">
        <v>0.42499999999999999</v>
      </c>
    </row>
    <row r="52" spans="1:215" ht="15" customHeight="1" x14ac:dyDescent="0.2">
      <c r="A52" s="463" t="s">
        <v>115</v>
      </c>
      <c r="B52" s="827"/>
      <c r="C52" s="827"/>
      <c r="D52" s="827"/>
      <c r="E52" s="827"/>
      <c r="F52" s="827"/>
      <c r="G52" s="827"/>
      <c r="H52" s="827"/>
      <c r="I52" s="827"/>
      <c r="J52" s="827"/>
      <c r="K52" s="827"/>
      <c r="L52" s="827"/>
      <c r="M52" s="827"/>
      <c r="N52" s="827"/>
      <c r="O52" s="827"/>
      <c r="P52" s="827"/>
      <c r="Q52" s="827"/>
      <c r="R52" s="827"/>
      <c r="S52" s="827"/>
      <c r="T52" s="827"/>
      <c r="U52" s="827"/>
      <c r="V52" s="827"/>
      <c r="W52" s="827"/>
      <c r="X52" s="827"/>
      <c r="Y52" s="827"/>
      <c r="Z52" s="827"/>
      <c r="AA52" s="827"/>
      <c r="AB52" s="827"/>
      <c r="AC52" s="827"/>
      <c r="AD52" s="827"/>
      <c r="AE52" s="827"/>
      <c r="AF52" s="827"/>
      <c r="AG52" s="827"/>
      <c r="AH52" s="827"/>
      <c r="AI52" s="827"/>
      <c r="AJ52" s="827"/>
      <c r="AK52" s="827"/>
      <c r="AL52" s="827"/>
      <c r="AM52" s="827"/>
      <c r="AN52" s="827"/>
      <c r="AO52" s="827"/>
      <c r="AP52" s="827"/>
      <c r="AQ52" s="827"/>
      <c r="AR52" s="827"/>
      <c r="AS52" s="827"/>
      <c r="AT52" s="827"/>
      <c r="AU52" s="827"/>
      <c r="AV52" s="827"/>
      <c r="AW52" s="827"/>
      <c r="AX52" s="827"/>
      <c r="AY52" s="827"/>
      <c r="AZ52" s="827"/>
      <c r="BA52" s="827"/>
      <c r="BB52" s="827"/>
      <c r="BC52" s="827"/>
      <c r="BD52" s="827"/>
      <c r="BE52" s="827"/>
      <c r="BF52" s="827"/>
      <c r="BG52" s="827"/>
      <c r="BH52" s="827"/>
      <c r="BI52" s="827"/>
      <c r="BJ52" s="827"/>
      <c r="BK52" s="827"/>
      <c r="BL52" s="827"/>
      <c r="BM52" s="827"/>
      <c r="BN52" s="827"/>
      <c r="BO52" s="827"/>
      <c r="BP52" s="827"/>
      <c r="BQ52" s="827"/>
      <c r="BR52" s="827"/>
      <c r="BS52" s="827"/>
      <c r="BT52" s="827"/>
      <c r="BU52" s="827"/>
      <c r="BV52" s="827"/>
      <c r="BW52" s="827"/>
      <c r="BX52" s="827"/>
      <c r="BY52" s="827"/>
      <c r="BZ52" s="827"/>
      <c r="CA52" s="827"/>
      <c r="CB52" s="827"/>
      <c r="CC52" s="827"/>
      <c r="CD52" s="827"/>
      <c r="CE52" s="827"/>
      <c r="CF52" s="827"/>
      <c r="CG52" s="827"/>
      <c r="CH52" s="827"/>
      <c r="CI52" s="827"/>
      <c r="CJ52" s="827"/>
      <c r="CK52" s="827"/>
      <c r="CL52" s="827"/>
      <c r="CM52" s="827"/>
      <c r="CN52" s="827"/>
      <c r="CO52" s="827"/>
      <c r="CP52" s="827"/>
      <c r="CQ52" s="827"/>
      <c r="CR52" s="827"/>
      <c r="CS52" s="827"/>
      <c r="CT52" s="827"/>
      <c r="CU52" s="827"/>
      <c r="CV52" s="827"/>
      <c r="CW52" s="827"/>
      <c r="CX52" s="827"/>
      <c r="CY52" s="827">
        <v>15.311999999999999</v>
      </c>
      <c r="CZ52" s="827">
        <v>15.311999999999999</v>
      </c>
      <c r="DA52" s="827">
        <v>15.311999999999999</v>
      </c>
      <c r="DB52" s="827"/>
      <c r="DC52" s="827"/>
      <c r="DD52" s="827"/>
      <c r="DE52" s="827"/>
      <c r="DF52" s="827"/>
      <c r="DG52" s="827"/>
      <c r="DH52" s="827"/>
      <c r="DI52" s="827"/>
      <c r="DJ52" s="827"/>
      <c r="DK52" s="827"/>
      <c r="DL52" s="827"/>
      <c r="DM52" s="827"/>
      <c r="DN52" s="827"/>
      <c r="DO52" s="827"/>
      <c r="DP52" s="827"/>
      <c r="DQ52" s="827"/>
      <c r="DR52" s="827"/>
      <c r="DS52" s="827"/>
      <c r="DT52" s="827"/>
      <c r="DU52" s="827"/>
      <c r="DV52" s="827"/>
      <c r="DW52" s="827"/>
      <c r="DX52" s="827"/>
      <c r="DY52" s="827"/>
      <c r="DZ52" s="827"/>
      <c r="EA52" s="827"/>
      <c r="EB52" s="827"/>
      <c r="EC52" s="827"/>
      <c r="ED52" s="827"/>
      <c r="EE52" s="827"/>
      <c r="EF52" s="827"/>
      <c r="EG52" s="827"/>
      <c r="EH52" s="827"/>
      <c r="EI52" s="827"/>
      <c r="EJ52" s="827"/>
      <c r="EK52" s="827"/>
      <c r="EL52" s="827"/>
      <c r="EM52" s="827"/>
      <c r="EN52" s="827"/>
      <c r="EO52" s="827"/>
      <c r="EP52" s="827"/>
      <c r="EQ52" s="827"/>
      <c r="ER52" s="827"/>
      <c r="ES52" s="827"/>
      <c r="ET52" s="827"/>
      <c r="EU52" s="827"/>
      <c r="EV52" s="827"/>
      <c r="EW52" s="827"/>
      <c r="EX52" s="827"/>
      <c r="EY52" s="827"/>
      <c r="EZ52" s="827"/>
      <c r="FA52" s="827"/>
      <c r="FB52" s="827"/>
      <c r="FC52" s="827"/>
      <c r="FD52" s="827"/>
      <c r="FE52" s="827"/>
      <c r="FF52" s="827"/>
      <c r="FG52" s="827"/>
      <c r="FH52" s="827"/>
      <c r="FI52" s="827"/>
      <c r="FJ52" s="827"/>
      <c r="FK52" s="827"/>
      <c r="FL52" s="827"/>
      <c r="FM52" s="827"/>
      <c r="FN52" s="827"/>
      <c r="FO52" s="827"/>
      <c r="FP52" s="827"/>
      <c r="FQ52" s="827"/>
      <c r="FR52" s="827"/>
      <c r="FS52" s="827"/>
      <c r="FT52" s="827"/>
      <c r="FU52" s="827"/>
      <c r="FV52" s="827"/>
      <c r="FW52" s="827"/>
      <c r="FX52" s="827"/>
      <c r="FY52" s="827"/>
      <c r="FZ52" s="827"/>
      <c r="GA52" s="827"/>
      <c r="GB52" s="827"/>
      <c r="GC52" s="827"/>
      <c r="GD52" s="827"/>
      <c r="GE52" s="827"/>
      <c r="GF52" s="827"/>
      <c r="GG52" s="827"/>
      <c r="GH52" s="827"/>
      <c r="GI52" s="827"/>
      <c r="GJ52" s="827"/>
      <c r="GK52" s="827"/>
      <c r="GL52" s="827"/>
      <c r="GM52" s="827"/>
      <c r="GN52" s="827"/>
      <c r="GO52" s="827"/>
      <c r="GP52" s="827"/>
      <c r="GQ52" s="827"/>
      <c r="GR52" s="827"/>
      <c r="GS52" s="827"/>
      <c r="GT52" s="827"/>
      <c r="GU52" s="827"/>
      <c r="GV52" s="827"/>
      <c r="GW52" s="827"/>
      <c r="GX52" s="827"/>
      <c r="GY52" s="827"/>
      <c r="GZ52" s="827"/>
      <c r="HA52" s="827"/>
      <c r="HB52" s="827"/>
      <c r="HC52" s="827"/>
      <c r="HD52" s="828"/>
      <c r="HE52" s="827"/>
      <c r="HF52" s="827"/>
      <c r="HG52" s="829">
        <v>15.311999999999999</v>
      </c>
    </row>
    <row r="53" spans="1:215" ht="15" customHeight="1" x14ac:dyDescent="0.2">
      <c r="A53" s="463" t="s">
        <v>59</v>
      </c>
      <c r="B53" s="827"/>
      <c r="C53" s="827"/>
      <c r="D53" s="827"/>
      <c r="E53" s="827"/>
      <c r="F53" s="827"/>
      <c r="G53" s="827"/>
      <c r="H53" s="827"/>
      <c r="I53" s="827"/>
      <c r="J53" s="827"/>
      <c r="K53" s="827"/>
      <c r="L53" s="827"/>
      <c r="M53" s="827"/>
      <c r="N53" s="827"/>
      <c r="O53" s="827"/>
      <c r="P53" s="827"/>
      <c r="Q53" s="827"/>
      <c r="R53" s="827"/>
      <c r="S53" s="827"/>
      <c r="T53" s="827"/>
      <c r="U53" s="827"/>
      <c r="V53" s="827"/>
      <c r="W53" s="827"/>
      <c r="X53" s="827"/>
      <c r="Y53" s="827"/>
      <c r="Z53" s="827"/>
      <c r="AA53" s="827"/>
      <c r="AB53" s="827"/>
      <c r="AC53" s="827"/>
      <c r="AD53" s="827"/>
      <c r="AE53" s="827"/>
      <c r="AF53" s="827"/>
      <c r="AG53" s="827"/>
      <c r="AH53" s="827"/>
      <c r="AI53" s="827"/>
      <c r="AJ53" s="827"/>
      <c r="AK53" s="827"/>
      <c r="AL53" s="827"/>
      <c r="AM53" s="827"/>
      <c r="AN53" s="827"/>
      <c r="AO53" s="827"/>
      <c r="AP53" s="827"/>
      <c r="AQ53" s="827"/>
      <c r="AR53" s="827"/>
      <c r="AS53" s="827"/>
      <c r="AT53" s="827"/>
      <c r="AU53" s="827"/>
      <c r="AV53" s="827"/>
      <c r="AW53" s="827"/>
      <c r="AX53" s="827"/>
      <c r="AY53" s="827"/>
      <c r="AZ53" s="827"/>
      <c r="BA53" s="827"/>
      <c r="BB53" s="827"/>
      <c r="BC53" s="827"/>
      <c r="BD53" s="827"/>
      <c r="BE53" s="827"/>
      <c r="BF53" s="827"/>
      <c r="BG53" s="827"/>
      <c r="BH53" s="827"/>
      <c r="BI53" s="827"/>
      <c r="BJ53" s="827"/>
      <c r="BK53" s="827"/>
      <c r="BL53" s="827"/>
      <c r="BM53" s="827"/>
      <c r="BN53" s="827"/>
      <c r="BO53" s="827"/>
      <c r="BP53" s="827"/>
      <c r="BQ53" s="827"/>
      <c r="BR53" s="827"/>
      <c r="BS53" s="827"/>
      <c r="BT53" s="827"/>
      <c r="BU53" s="827"/>
      <c r="BV53" s="827"/>
      <c r="BW53" s="827"/>
      <c r="BX53" s="827"/>
      <c r="BY53" s="827"/>
      <c r="BZ53" s="827"/>
      <c r="CA53" s="827"/>
      <c r="CB53" s="827"/>
      <c r="CC53" s="827"/>
      <c r="CD53" s="827"/>
      <c r="CE53" s="827"/>
      <c r="CF53" s="827"/>
      <c r="CG53" s="827"/>
      <c r="CH53" s="827"/>
      <c r="CI53" s="827"/>
      <c r="CJ53" s="827"/>
      <c r="CK53" s="827"/>
      <c r="CL53" s="827"/>
      <c r="CM53" s="827"/>
      <c r="CN53" s="827"/>
      <c r="CO53" s="827"/>
      <c r="CP53" s="827"/>
      <c r="CQ53" s="827"/>
      <c r="CR53" s="827"/>
      <c r="CS53" s="827"/>
      <c r="CT53" s="827"/>
      <c r="CU53" s="827"/>
      <c r="CV53" s="827"/>
      <c r="CW53" s="827"/>
      <c r="CX53" s="827"/>
      <c r="CY53" s="827"/>
      <c r="CZ53" s="827"/>
      <c r="DA53" s="827"/>
      <c r="DB53" s="827"/>
      <c r="DC53" s="827"/>
      <c r="DD53" s="827"/>
      <c r="DE53" s="827"/>
      <c r="DF53" s="827"/>
      <c r="DG53" s="827"/>
      <c r="DH53" s="827"/>
      <c r="DI53" s="827"/>
      <c r="DJ53" s="827"/>
      <c r="DK53" s="827"/>
      <c r="DL53" s="827"/>
      <c r="DM53" s="827"/>
      <c r="DN53" s="827"/>
      <c r="DO53" s="827"/>
      <c r="DP53" s="827"/>
      <c r="DQ53" s="827"/>
      <c r="DR53" s="827"/>
      <c r="DS53" s="827"/>
      <c r="DT53" s="827"/>
      <c r="DU53" s="827"/>
      <c r="DV53" s="827"/>
      <c r="DW53" s="827"/>
      <c r="DX53" s="827"/>
      <c r="DY53" s="827"/>
      <c r="DZ53" s="827"/>
      <c r="EA53" s="827"/>
      <c r="EB53" s="827"/>
      <c r="EC53" s="827"/>
      <c r="ED53" s="827"/>
      <c r="EE53" s="827"/>
      <c r="EF53" s="827"/>
      <c r="EG53" s="827"/>
      <c r="EH53" s="827"/>
      <c r="EI53" s="827"/>
      <c r="EJ53" s="827"/>
      <c r="EK53" s="827"/>
      <c r="EL53" s="827"/>
      <c r="EM53" s="827"/>
      <c r="EN53" s="827"/>
      <c r="EO53" s="827"/>
      <c r="EP53" s="827"/>
      <c r="EQ53" s="827"/>
      <c r="ER53" s="827"/>
      <c r="ES53" s="827"/>
      <c r="ET53" s="827"/>
      <c r="EU53" s="827"/>
      <c r="EV53" s="827"/>
      <c r="EW53" s="827"/>
      <c r="EX53" s="827"/>
      <c r="EY53" s="827"/>
      <c r="EZ53" s="827"/>
      <c r="FA53" s="827"/>
      <c r="FB53" s="827"/>
      <c r="FC53" s="827"/>
      <c r="FD53" s="827"/>
      <c r="FE53" s="827"/>
      <c r="FF53" s="827"/>
      <c r="FG53" s="827"/>
      <c r="FH53" s="827"/>
      <c r="FI53" s="827"/>
      <c r="FJ53" s="827"/>
      <c r="FK53" s="827"/>
      <c r="FL53" s="827"/>
      <c r="FM53" s="827"/>
      <c r="FN53" s="827"/>
      <c r="FO53" s="827"/>
      <c r="FP53" s="827"/>
      <c r="FQ53" s="827"/>
      <c r="FR53" s="827"/>
      <c r="FS53" s="827"/>
      <c r="FT53" s="827"/>
      <c r="FU53" s="827"/>
      <c r="FV53" s="827">
        <v>1046.5022612023947</v>
      </c>
      <c r="FW53" s="827">
        <v>1046.5022612023947</v>
      </c>
      <c r="FX53" s="827">
        <v>1046.5022612023947</v>
      </c>
      <c r="FY53" s="827"/>
      <c r="FZ53" s="827"/>
      <c r="GA53" s="827"/>
      <c r="GB53" s="827"/>
      <c r="GC53" s="827"/>
      <c r="GD53" s="827"/>
      <c r="GE53" s="827"/>
      <c r="GF53" s="827"/>
      <c r="GG53" s="827"/>
      <c r="GH53" s="827"/>
      <c r="GI53" s="827"/>
      <c r="GJ53" s="827"/>
      <c r="GK53" s="827"/>
      <c r="GL53" s="827"/>
      <c r="GM53" s="827"/>
      <c r="GN53" s="827"/>
      <c r="GO53" s="827"/>
      <c r="GP53" s="827"/>
      <c r="GQ53" s="827"/>
      <c r="GR53" s="827"/>
      <c r="GS53" s="827"/>
      <c r="GT53" s="827"/>
      <c r="GU53" s="827"/>
      <c r="GV53" s="827"/>
      <c r="GW53" s="827"/>
      <c r="GX53" s="827"/>
      <c r="GY53" s="827"/>
      <c r="GZ53" s="827"/>
      <c r="HA53" s="827"/>
      <c r="HB53" s="827"/>
      <c r="HC53" s="827"/>
      <c r="HD53" s="828"/>
      <c r="HE53" s="827"/>
      <c r="HF53" s="827"/>
      <c r="HG53" s="829">
        <v>1046.5022612023947</v>
      </c>
    </row>
    <row r="54" spans="1:215" ht="15" customHeight="1" x14ac:dyDescent="0.2">
      <c r="A54" s="463" t="s">
        <v>57</v>
      </c>
      <c r="B54" s="827"/>
      <c r="C54" s="827"/>
      <c r="D54" s="827"/>
      <c r="E54" s="827"/>
      <c r="F54" s="827"/>
      <c r="G54" s="827"/>
      <c r="H54" s="827"/>
      <c r="I54" s="827"/>
      <c r="J54" s="827"/>
      <c r="K54" s="827"/>
      <c r="L54" s="827"/>
      <c r="M54" s="827"/>
      <c r="N54" s="827"/>
      <c r="O54" s="827"/>
      <c r="P54" s="827"/>
      <c r="Q54" s="827"/>
      <c r="R54" s="827"/>
      <c r="S54" s="827"/>
      <c r="T54" s="827"/>
      <c r="U54" s="827"/>
      <c r="V54" s="827"/>
      <c r="W54" s="827"/>
      <c r="X54" s="827"/>
      <c r="Y54" s="827"/>
      <c r="Z54" s="827"/>
      <c r="AA54" s="827"/>
      <c r="AB54" s="827"/>
      <c r="AC54" s="827"/>
      <c r="AD54" s="827"/>
      <c r="AE54" s="827"/>
      <c r="AF54" s="827"/>
      <c r="AG54" s="827"/>
      <c r="AH54" s="827"/>
      <c r="AI54" s="827"/>
      <c r="AJ54" s="827"/>
      <c r="AK54" s="827"/>
      <c r="AL54" s="827"/>
      <c r="AM54" s="827"/>
      <c r="AN54" s="827"/>
      <c r="AO54" s="827"/>
      <c r="AP54" s="827"/>
      <c r="AQ54" s="827"/>
      <c r="AR54" s="827"/>
      <c r="AS54" s="827"/>
      <c r="AT54" s="827"/>
      <c r="AU54" s="827"/>
      <c r="AV54" s="827"/>
      <c r="AW54" s="827"/>
      <c r="AX54" s="827"/>
      <c r="AY54" s="827"/>
      <c r="AZ54" s="827"/>
      <c r="BA54" s="827"/>
      <c r="BB54" s="827"/>
      <c r="BC54" s="827"/>
      <c r="BD54" s="827"/>
      <c r="BE54" s="827"/>
      <c r="BF54" s="827"/>
      <c r="BG54" s="827"/>
      <c r="BH54" s="827"/>
      <c r="BI54" s="827"/>
      <c r="BJ54" s="827"/>
      <c r="BK54" s="827"/>
      <c r="BL54" s="827"/>
      <c r="BM54" s="827"/>
      <c r="BN54" s="827"/>
      <c r="BO54" s="827"/>
      <c r="BP54" s="827"/>
      <c r="BQ54" s="827"/>
      <c r="BR54" s="827"/>
      <c r="BS54" s="827"/>
      <c r="BT54" s="827"/>
      <c r="BU54" s="827"/>
      <c r="BV54" s="827"/>
      <c r="BW54" s="827"/>
      <c r="BX54" s="827"/>
      <c r="BY54" s="827"/>
      <c r="BZ54" s="827"/>
      <c r="CA54" s="827"/>
      <c r="CB54" s="827"/>
      <c r="CC54" s="827"/>
      <c r="CD54" s="827"/>
      <c r="CE54" s="827"/>
      <c r="CF54" s="827"/>
      <c r="CG54" s="827"/>
      <c r="CH54" s="827"/>
      <c r="CI54" s="827"/>
      <c r="CJ54" s="827"/>
      <c r="CK54" s="827"/>
      <c r="CL54" s="827"/>
      <c r="CM54" s="827"/>
      <c r="CN54" s="827"/>
      <c r="CO54" s="827"/>
      <c r="CP54" s="827"/>
      <c r="CQ54" s="827"/>
      <c r="CR54" s="827"/>
      <c r="CS54" s="827"/>
      <c r="CT54" s="827"/>
      <c r="CU54" s="827"/>
      <c r="CV54" s="827"/>
      <c r="CW54" s="827"/>
      <c r="CX54" s="827"/>
      <c r="CY54" s="827"/>
      <c r="CZ54" s="827"/>
      <c r="DA54" s="827"/>
      <c r="DB54" s="827"/>
      <c r="DC54" s="827"/>
      <c r="DD54" s="827"/>
      <c r="DE54" s="827"/>
      <c r="DF54" s="827"/>
      <c r="DG54" s="827"/>
      <c r="DH54" s="827"/>
      <c r="DI54" s="827"/>
      <c r="DJ54" s="827"/>
      <c r="DK54" s="827"/>
      <c r="DL54" s="827"/>
      <c r="DM54" s="827"/>
      <c r="DN54" s="827"/>
      <c r="DO54" s="827"/>
      <c r="DP54" s="827"/>
      <c r="DQ54" s="827"/>
      <c r="DR54" s="827"/>
      <c r="DS54" s="827"/>
      <c r="DT54" s="827"/>
      <c r="DU54" s="827"/>
      <c r="DV54" s="827"/>
      <c r="DW54" s="827"/>
      <c r="DX54" s="827"/>
      <c r="DY54" s="827"/>
      <c r="DZ54" s="827"/>
      <c r="EA54" s="827"/>
      <c r="EB54" s="827"/>
      <c r="EC54" s="827"/>
      <c r="ED54" s="827"/>
      <c r="EE54" s="827"/>
      <c r="EF54" s="827"/>
      <c r="EG54" s="827"/>
      <c r="EH54" s="827"/>
      <c r="EI54" s="827"/>
      <c r="EJ54" s="827"/>
      <c r="EK54" s="827"/>
      <c r="EL54" s="827"/>
      <c r="EM54" s="827"/>
      <c r="EN54" s="827"/>
      <c r="EO54" s="827"/>
      <c r="EP54" s="827"/>
      <c r="EQ54" s="827"/>
      <c r="ER54" s="827"/>
      <c r="ES54" s="827"/>
      <c r="ET54" s="827"/>
      <c r="EU54" s="827"/>
      <c r="EV54" s="827"/>
      <c r="EW54" s="827"/>
      <c r="EX54" s="827"/>
      <c r="EY54" s="827"/>
      <c r="EZ54" s="827"/>
      <c r="FA54" s="827"/>
      <c r="FB54" s="827"/>
      <c r="FC54" s="827"/>
      <c r="FD54" s="827"/>
      <c r="FE54" s="827"/>
      <c r="FF54" s="827"/>
      <c r="FG54" s="827"/>
      <c r="FH54" s="827"/>
      <c r="FI54" s="827"/>
      <c r="FJ54" s="827"/>
      <c r="FK54" s="827"/>
      <c r="FL54" s="827"/>
      <c r="FM54" s="827"/>
      <c r="FN54" s="827"/>
      <c r="FO54" s="827"/>
      <c r="FP54" s="827"/>
      <c r="FQ54" s="827"/>
      <c r="FR54" s="827"/>
      <c r="FS54" s="827"/>
      <c r="FT54" s="827"/>
      <c r="FU54" s="827"/>
      <c r="FV54" s="827"/>
      <c r="FW54" s="827"/>
      <c r="FX54" s="827"/>
      <c r="FY54" s="827"/>
      <c r="FZ54" s="827"/>
      <c r="GA54" s="827"/>
      <c r="GB54" s="827"/>
      <c r="GC54" s="827"/>
      <c r="GD54" s="827"/>
      <c r="GE54" s="827"/>
      <c r="GF54" s="827"/>
      <c r="GG54" s="827"/>
      <c r="GH54" s="827"/>
      <c r="GI54" s="827"/>
      <c r="GJ54" s="827"/>
      <c r="GK54" s="827"/>
      <c r="GL54" s="827"/>
      <c r="GM54" s="827"/>
      <c r="GN54" s="827">
        <v>0</v>
      </c>
      <c r="GO54" s="827">
        <v>0</v>
      </c>
      <c r="GP54" s="827">
        <v>0</v>
      </c>
      <c r="GQ54" s="827"/>
      <c r="GR54" s="827"/>
      <c r="GS54" s="827"/>
      <c r="GT54" s="827"/>
      <c r="GU54" s="827"/>
      <c r="GV54" s="827"/>
      <c r="GW54" s="827"/>
      <c r="GX54" s="827"/>
      <c r="GY54" s="827"/>
      <c r="GZ54" s="827"/>
      <c r="HA54" s="827"/>
      <c r="HB54" s="827"/>
      <c r="HC54" s="827"/>
      <c r="HD54" s="828"/>
      <c r="HE54" s="827"/>
      <c r="HF54" s="827"/>
      <c r="HG54" s="829">
        <v>0</v>
      </c>
    </row>
    <row r="55" spans="1:215" ht="15" customHeight="1" x14ac:dyDescent="0.2">
      <c r="A55" s="463" t="s">
        <v>151</v>
      </c>
      <c r="B55" s="827"/>
      <c r="C55" s="827"/>
      <c r="D55" s="827"/>
      <c r="E55" s="827"/>
      <c r="F55" s="827"/>
      <c r="G55" s="827"/>
      <c r="H55" s="827"/>
      <c r="I55" s="827"/>
      <c r="J55" s="827"/>
      <c r="K55" s="827"/>
      <c r="L55" s="827"/>
      <c r="M55" s="827"/>
      <c r="N55" s="827"/>
      <c r="O55" s="827"/>
      <c r="P55" s="827"/>
      <c r="Q55" s="827"/>
      <c r="R55" s="827"/>
      <c r="S55" s="827"/>
      <c r="T55" s="827">
        <v>0.33333333333333331</v>
      </c>
      <c r="U55" s="827">
        <v>0.33333333333333331</v>
      </c>
      <c r="V55" s="827">
        <v>0.33333333333333331</v>
      </c>
      <c r="W55" s="827"/>
      <c r="X55" s="827"/>
      <c r="Y55" s="827"/>
      <c r="Z55" s="827"/>
      <c r="AA55" s="827"/>
      <c r="AB55" s="827"/>
      <c r="AC55" s="827"/>
      <c r="AD55" s="827"/>
      <c r="AE55" s="827"/>
      <c r="AF55" s="827"/>
      <c r="AG55" s="827"/>
      <c r="AH55" s="827"/>
      <c r="AI55" s="827"/>
      <c r="AJ55" s="827"/>
      <c r="AK55" s="827"/>
      <c r="AL55" s="827"/>
      <c r="AM55" s="827"/>
      <c r="AN55" s="827"/>
      <c r="AO55" s="827"/>
      <c r="AP55" s="827"/>
      <c r="AQ55" s="827"/>
      <c r="AR55" s="827"/>
      <c r="AS55" s="827"/>
      <c r="AT55" s="827"/>
      <c r="AU55" s="827"/>
      <c r="AV55" s="827"/>
      <c r="AW55" s="827"/>
      <c r="AX55" s="827"/>
      <c r="AY55" s="827"/>
      <c r="AZ55" s="827"/>
      <c r="BA55" s="827"/>
      <c r="BB55" s="827"/>
      <c r="BC55" s="827"/>
      <c r="BD55" s="827"/>
      <c r="BE55" s="827"/>
      <c r="BF55" s="827"/>
      <c r="BG55" s="827"/>
      <c r="BH55" s="827"/>
      <c r="BI55" s="827"/>
      <c r="BJ55" s="827"/>
      <c r="BK55" s="827"/>
      <c r="BL55" s="827"/>
      <c r="BM55" s="827"/>
      <c r="BN55" s="827"/>
      <c r="BO55" s="827"/>
      <c r="BP55" s="827"/>
      <c r="BQ55" s="827"/>
      <c r="BR55" s="827"/>
      <c r="BS55" s="827"/>
      <c r="BT55" s="827"/>
      <c r="BU55" s="827"/>
      <c r="BV55" s="827"/>
      <c r="BW55" s="827"/>
      <c r="BX55" s="827"/>
      <c r="BY55" s="827"/>
      <c r="BZ55" s="827"/>
      <c r="CA55" s="827"/>
      <c r="CB55" s="827"/>
      <c r="CC55" s="827"/>
      <c r="CD55" s="827"/>
      <c r="CE55" s="827"/>
      <c r="CF55" s="827"/>
      <c r="CG55" s="827"/>
      <c r="CH55" s="827"/>
      <c r="CI55" s="827"/>
      <c r="CJ55" s="827"/>
      <c r="CK55" s="827"/>
      <c r="CL55" s="827"/>
      <c r="CM55" s="827"/>
      <c r="CN55" s="827"/>
      <c r="CO55" s="827"/>
      <c r="CP55" s="827"/>
      <c r="CQ55" s="827"/>
      <c r="CR55" s="827"/>
      <c r="CS55" s="827"/>
      <c r="CT55" s="827"/>
      <c r="CU55" s="827"/>
      <c r="CV55" s="827"/>
      <c r="CW55" s="827"/>
      <c r="CX55" s="827"/>
      <c r="CY55" s="827"/>
      <c r="CZ55" s="827"/>
      <c r="DA55" s="827"/>
      <c r="DB55" s="827"/>
      <c r="DC55" s="827"/>
      <c r="DD55" s="827"/>
      <c r="DE55" s="827"/>
      <c r="DF55" s="827"/>
      <c r="DG55" s="827"/>
      <c r="DH55" s="827"/>
      <c r="DI55" s="827"/>
      <c r="DJ55" s="827"/>
      <c r="DK55" s="827"/>
      <c r="DL55" s="827"/>
      <c r="DM55" s="827"/>
      <c r="DN55" s="827"/>
      <c r="DO55" s="827"/>
      <c r="DP55" s="827"/>
      <c r="DQ55" s="827"/>
      <c r="DR55" s="827"/>
      <c r="DS55" s="827"/>
      <c r="DT55" s="827"/>
      <c r="DU55" s="827"/>
      <c r="DV55" s="827"/>
      <c r="DW55" s="827"/>
      <c r="DX55" s="827"/>
      <c r="DY55" s="827"/>
      <c r="DZ55" s="827"/>
      <c r="EA55" s="827"/>
      <c r="EB55" s="827"/>
      <c r="EC55" s="827"/>
      <c r="ED55" s="827"/>
      <c r="EE55" s="827"/>
      <c r="EF55" s="827"/>
      <c r="EG55" s="827"/>
      <c r="EH55" s="827"/>
      <c r="EI55" s="827"/>
      <c r="EJ55" s="827"/>
      <c r="EK55" s="827"/>
      <c r="EL55" s="827"/>
      <c r="EM55" s="827"/>
      <c r="EN55" s="827"/>
      <c r="EO55" s="827"/>
      <c r="EP55" s="827"/>
      <c r="EQ55" s="827"/>
      <c r="ER55" s="827"/>
      <c r="ES55" s="827"/>
      <c r="ET55" s="827"/>
      <c r="EU55" s="827"/>
      <c r="EV55" s="827"/>
      <c r="EW55" s="827"/>
      <c r="EX55" s="827"/>
      <c r="EY55" s="827"/>
      <c r="EZ55" s="827"/>
      <c r="FA55" s="827"/>
      <c r="FB55" s="827"/>
      <c r="FC55" s="827"/>
      <c r="FD55" s="827"/>
      <c r="FE55" s="827"/>
      <c r="FF55" s="827"/>
      <c r="FG55" s="827"/>
      <c r="FH55" s="827"/>
      <c r="FI55" s="827"/>
      <c r="FJ55" s="827"/>
      <c r="FK55" s="827"/>
      <c r="FL55" s="827"/>
      <c r="FM55" s="827"/>
      <c r="FN55" s="827"/>
      <c r="FO55" s="827"/>
      <c r="FP55" s="827"/>
      <c r="FQ55" s="827"/>
      <c r="FR55" s="827"/>
      <c r="FS55" s="827"/>
      <c r="FT55" s="827"/>
      <c r="FU55" s="827"/>
      <c r="FV55" s="827"/>
      <c r="FW55" s="827"/>
      <c r="FX55" s="827"/>
      <c r="FY55" s="827"/>
      <c r="FZ55" s="827"/>
      <c r="GA55" s="827"/>
      <c r="GB55" s="827"/>
      <c r="GC55" s="827"/>
      <c r="GD55" s="827"/>
      <c r="GE55" s="827"/>
      <c r="GF55" s="827"/>
      <c r="GG55" s="827"/>
      <c r="GH55" s="827"/>
      <c r="GI55" s="827"/>
      <c r="GJ55" s="827"/>
      <c r="GK55" s="827"/>
      <c r="GL55" s="827"/>
      <c r="GM55" s="827"/>
      <c r="GN55" s="827"/>
      <c r="GO55" s="827"/>
      <c r="GP55" s="827"/>
      <c r="GQ55" s="827"/>
      <c r="GR55" s="827"/>
      <c r="GS55" s="827"/>
      <c r="GT55" s="827"/>
      <c r="GU55" s="827"/>
      <c r="GV55" s="827"/>
      <c r="GW55" s="827"/>
      <c r="GX55" s="827"/>
      <c r="GY55" s="827"/>
      <c r="GZ55" s="827"/>
      <c r="HA55" s="827"/>
      <c r="HB55" s="827"/>
      <c r="HC55" s="827"/>
      <c r="HD55" s="828"/>
      <c r="HE55" s="827"/>
      <c r="HF55" s="827"/>
      <c r="HG55" s="829">
        <v>0.33333333333333331</v>
      </c>
    </row>
    <row r="56" spans="1:215" ht="15" customHeight="1" x14ac:dyDescent="0.2">
      <c r="A56" s="463" t="s">
        <v>152</v>
      </c>
      <c r="B56" s="827"/>
      <c r="C56" s="827"/>
      <c r="D56" s="827"/>
      <c r="E56" s="827"/>
      <c r="F56" s="827"/>
      <c r="G56" s="827"/>
      <c r="H56" s="827"/>
      <c r="I56" s="827"/>
      <c r="J56" s="827"/>
      <c r="K56" s="827"/>
      <c r="L56" s="827"/>
      <c r="M56" s="827"/>
      <c r="N56" s="827"/>
      <c r="O56" s="827"/>
      <c r="P56" s="827"/>
      <c r="Q56" s="827"/>
      <c r="R56" s="827"/>
      <c r="S56" s="827"/>
      <c r="T56" s="827"/>
      <c r="U56" s="827"/>
      <c r="V56" s="827"/>
      <c r="W56" s="827"/>
      <c r="X56" s="827"/>
      <c r="Y56" s="827"/>
      <c r="Z56" s="827"/>
      <c r="AA56" s="827"/>
      <c r="AB56" s="827"/>
      <c r="AC56" s="827"/>
      <c r="AD56" s="827"/>
      <c r="AE56" s="827"/>
      <c r="AF56" s="827"/>
      <c r="AG56" s="827"/>
      <c r="AH56" s="827"/>
      <c r="AI56" s="827"/>
      <c r="AJ56" s="827"/>
      <c r="AK56" s="827"/>
      <c r="AL56" s="827"/>
      <c r="AM56" s="827"/>
      <c r="AN56" s="827"/>
      <c r="AO56" s="827"/>
      <c r="AP56" s="827"/>
      <c r="AQ56" s="827"/>
      <c r="AR56" s="827"/>
      <c r="AS56" s="827"/>
      <c r="AT56" s="827"/>
      <c r="AU56" s="827"/>
      <c r="AV56" s="827"/>
      <c r="AW56" s="827"/>
      <c r="AX56" s="827"/>
      <c r="AY56" s="827"/>
      <c r="AZ56" s="827"/>
      <c r="BA56" s="827"/>
      <c r="BB56" s="827"/>
      <c r="BC56" s="827"/>
      <c r="BD56" s="827"/>
      <c r="BE56" s="827"/>
      <c r="BF56" s="827"/>
      <c r="BG56" s="827"/>
      <c r="BH56" s="827"/>
      <c r="BI56" s="827"/>
      <c r="BJ56" s="827"/>
      <c r="BK56" s="827"/>
      <c r="BL56" s="827"/>
      <c r="BM56" s="827"/>
      <c r="BN56" s="827"/>
      <c r="BO56" s="827"/>
      <c r="BP56" s="827"/>
      <c r="BQ56" s="827"/>
      <c r="BR56" s="827"/>
      <c r="BS56" s="827"/>
      <c r="BT56" s="827"/>
      <c r="BU56" s="827">
        <v>3.5</v>
      </c>
      <c r="BV56" s="827">
        <v>3.5</v>
      </c>
      <c r="BW56" s="827">
        <v>3.5</v>
      </c>
      <c r="BX56" s="827"/>
      <c r="BY56" s="827"/>
      <c r="BZ56" s="827"/>
      <c r="CA56" s="827"/>
      <c r="CB56" s="827"/>
      <c r="CC56" s="827"/>
      <c r="CD56" s="827"/>
      <c r="CE56" s="827"/>
      <c r="CF56" s="827"/>
      <c r="CG56" s="827"/>
      <c r="CH56" s="827"/>
      <c r="CI56" s="827"/>
      <c r="CJ56" s="827"/>
      <c r="CK56" s="827"/>
      <c r="CL56" s="827"/>
      <c r="CM56" s="827"/>
      <c r="CN56" s="827"/>
      <c r="CO56" s="827"/>
      <c r="CP56" s="827"/>
      <c r="CQ56" s="827"/>
      <c r="CR56" s="827"/>
      <c r="CS56" s="827"/>
      <c r="CT56" s="827"/>
      <c r="CU56" s="827"/>
      <c r="CV56" s="827"/>
      <c r="CW56" s="827"/>
      <c r="CX56" s="827"/>
      <c r="CY56" s="827"/>
      <c r="CZ56" s="827"/>
      <c r="DA56" s="827"/>
      <c r="DB56" s="827"/>
      <c r="DC56" s="827"/>
      <c r="DD56" s="827"/>
      <c r="DE56" s="827"/>
      <c r="DF56" s="827"/>
      <c r="DG56" s="827"/>
      <c r="DH56" s="827"/>
      <c r="DI56" s="827"/>
      <c r="DJ56" s="827"/>
      <c r="DK56" s="827"/>
      <c r="DL56" s="827"/>
      <c r="DM56" s="827"/>
      <c r="DN56" s="827"/>
      <c r="DO56" s="827"/>
      <c r="DP56" s="827"/>
      <c r="DQ56" s="827"/>
      <c r="DR56" s="827"/>
      <c r="DS56" s="827"/>
      <c r="DT56" s="827"/>
      <c r="DU56" s="827"/>
      <c r="DV56" s="827"/>
      <c r="DW56" s="827"/>
      <c r="DX56" s="827"/>
      <c r="DY56" s="827"/>
      <c r="DZ56" s="827"/>
      <c r="EA56" s="827"/>
      <c r="EB56" s="827"/>
      <c r="EC56" s="827"/>
      <c r="ED56" s="827"/>
      <c r="EE56" s="827"/>
      <c r="EF56" s="827"/>
      <c r="EG56" s="827"/>
      <c r="EH56" s="827"/>
      <c r="EI56" s="827"/>
      <c r="EJ56" s="827"/>
      <c r="EK56" s="827"/>
      <c r="EL56" s="827"/>
      <c r="EM56" s="827"/>
      <c r="EN56" s="827"/>
      <c r="EO56" s="827"/>
      <c r="EP56" s="827"/>
      <c r="EQ56" s="827"/>
      <c r="ER56" s="827"/>
      <c r="ES56" s="827"/>
      <c r="ET56" s="827"/>
      <c r="EU56" s="827"/>
      <c r="EV56" s="827"/>
      <c r="EW56" s="827"/>
      <c r="EX56" s="827"/>
      <c r="EY56" s="827"/>
      <c r="EZ56" s="827"/>
      <c r="FA56" s="827"/>
      <c r="FB56" s="827"/>
      <c r="FC56" s="827"/>
      <c r="FD56" s="827"/>
      <c r="FE56" s="827"/>
      <c r="FF56" s="827"/>
      <c r="FG56" s="827"/>
      <c r="FH56" s="827"/>
      <c r="FI56" s="827"/>
      <c r="FJ56" s="827"/>
      <c r="FK56" s="827"/>
      <c r="FL56" s="827"/>
      <c r="FM56" s="827"/>
      <c r="FN56" s="827"/>
      <c r="FO56" s="827"/>
      <c r="FP56" s="827"/>
      <c r="FQ56" s="827"/>
      <c r="FR56" s="827"/>
      <c r="FS56" s="827"/>
      <c r="FT56" s="827"/>
      <c r="FU56" s="827"/>
      <c r="FV56" s="827"/>
      <c r="FW56" s="827"/>
      <c r="FX56" s="827"/>
      <c r="FY56" s="827"/>
      <c r="FZ56" s="827"/>
      <c r="GA56" s="827"/>
      <c r="GB56" s="827"/>
      <c r="GC56" s="827"/>
      <c r="GD56" s="827"/>
      <c r="GE56" s="827"/>
      <c r="GF56" s="827"/>
      <c r="GG56" s="827"/>
      <c r="GH56" s="827"/>
      <c r="GI56" s="827"/>
      <c r="GJ56" s="827"/>
      <c r="GK56" s="827"/>
      <c r="GL56" s="827"/>
      <c r="GM56" s="827"/>
      <c r="GN56" s="827"/>
      <c r="GO56" s="827"/>
      <c r="GP56" s="827"/>
      <c r="GQ56" s="827"/>
      <c r="GR56" s="827"/>
      <c r="GS56" s="827"/>
      <c r="GT56" s="827"/>
      <c r="GU56" s="827"/>
      <c r="GV56" s="827"/>
      <c r="GW56" s="827"/>
      <c r="GX56" s="827"/>
      <c r="GY56" s="827"/>
      <c r="GZ56" s="827"/>
      <c r="HA56" s="827"/>
      <c r="HB56" s="827"/>
      <c r="HC56" s="827"/>
      <c r="HD56" s="828"/>
      <c r="HE56" s="827"/>
      <c r="HF56" s="827"/>
      <c r="HG56" s="829">
        <v>3.5</v>
      </c>
    </row>
    <row r="57" spans="1:215" ht="15" customHeight="1" x14ac:dyDescent="0.2">
      <c r="A57" s="463" t="s">
        <v>163</v>
      </c>
      <c r="B57" s="827"/>
      <c r="C57" s="827"/>
      <c r="D57" s="827"/>
      <c r="E57" s="827"/>
      <c r="F57" s="827"/>
      <c r="G57" s="827"/>
      <c r="H57" s="827"/>
      <c r="I57" s="827"/>
      <c r="J57" s="827"/>
      <c r="K57" s="827"/>
      <c r="L57" s="827"/>
      <c r="M57" s="827"/>
      <c r="N57" s="827"/>
      <c r="O57" s="827"/>
      <c r="P57" s="827"/>
      <c r="Q57" s="827"/>
      <c r="R57" s="827"/>
      <c r="S57" s="827"/>
      <c r="T57" s="827"/>
      <c r="U57" s="827"/>
      <c r="V57" s="827"/>
      <c r="W57" s="827"/>
      <c r="X57" s="827"/>
      <c r="Y57" s="827"/>
      <c r="Z57" s="827"/>
      <c r="AA57" s="827"/>
      <c r="AB57" s="827"/>
      <c r="AC57" s="827"/>
      <c r="AD57" s="827"/>
      <c r="AE57" s="827"/>
      <c r="AF57" s="827"/>
      <c r="AG57" s="827"/>
      <c r="AH57" s="827"/>
      <c r="AI57" s="827"/>
      <c r="AJ57" s="827"/>
      <c r="AK57" s="827"/>
      <c r="AL57" s="827"/>
      <c r="AM57" s="827"/>
      <c r="AN57" s="827"/>
      <c r="AO57" s="827"/>
      <c r="AP57" s="827"/>
      <c r="AQ57" s="827"/>
      <c r="AR57" s="827"/>
      <c r="AS57" s="827"/>
      <c r="AT57" s="827"/>
      <c r="AU57" s="827"/>
      <c r="AV57" s="827"/>
      <c r="AW57" s="827"/>
      <c r="AX57" s="827"/>
      <c r="AY57" s="827"/>
      <c r="AZ57" s="827"/>
      <c r="BA57" s="827"/>
      <c r="BB57" s="827"/>
      <c r="BC57" s="827"/>
      <c r="BD57" s="827"/>
      <c r="BE57" s="827"/>
      <c r="BF57" s="827"/>
      <c r="BG57" s="827"/>
      <c r="BH57" s="827"/>
      <c r="BI57" s="827"/>
      <c r="BJ57" s="827"/>
      <c r="BK57" s="827"/>
      <c r="BL57" s="827"/>
      <c r="BM57" s="827"/>
      <c r="BN57" s="827"/>
      <c r="BO57" s="827"/>
      <c r="BP57" s="827"/>
      <c r="BQ57" s="827"/>
      <c r="BR57" s="827"/>
      <c r="BS57" s="827"/>
      <c r="BT57" s="827"/>
      <c r="BU57" s="827"/>
      <c r="BV57" s="827"/>
      <c r="BW57" s="827"/>
      <c r="BX57" s="827"/>
      <c r="BY57" s="827"/>
      <c r="BZ57" s="827"/>
      <c r="CA57" s="827"/>
      <c r="CB57" s="827"/>
      <c r="CC57" s="827"/>
      <c r="CD57" s="827"/>
      <c r="CE57" s="827"/>
      <c r="CF57" s="827"/>
      <c r="CG57" s="827"/>
      <c r="CH57" s="827"/>
      <c r="CI57" s="827"/>
      <c r="CJ57" s="827"/>
      <c r="CK57" s="827"/>
      <c r="CL57" s="827"/>
      <c r="CM57" s="827"/>
      <c r="CN57" s="827"/>
      <c r="CO57" s="827"/>
      <c r="CP57" s="827"/>
      <c r="CQ57" s="827"/>
      <c r="CR57" s="827"/>
      <c r="CS57" s="827"/>
      <c r="CT57" s="827"/>
      <c r="CU57" s="827"/>
      <c r="CV57" s="827"/>
      <c r="CW57" s="827"/>
      <c r="CX57" s="827"/>
      <c r="CY57" s="827"/>
      <c r="CZ57" s="827"/>
      <c r="DA57" s="827"/>
      <c r="DB57" s="827"/>
      <c r="DC57" s="827"/>
      <c r="DD57" s="827"/>
      <c r="DE57" s="827"/>
      <c r="DF57" s="827"/>
      <c r="DG57" s="827"/>
      <c r="DH57" s="827"/>
      <c r="DI57" s="827"/>
      <c r="DJ57" s="827"/>
      <c r="DK57" s="827"/>
      <c r="DL57" s="827"/>
      <c r="DM57" s="827"/>
      <c r="DN57" s="827"/>
      <c r="DO57" s="827"/>
      <c r="DP57" s="827"/>
      <c r="DQ57" s="827"/>
      <c r="DR57" s="827"/>
      <c r="DS57" s="827"/>
      <c r="DT57" s="827"/>
      <c r="DU57" s="827"/>
      <c r="DV57" s="827"/>
      <c r="DW57" s="827"/>
      <c r="DX57" s="827"/>
      <c r="DY57" s="827"/>
      <c r="DZ57" s="827"/>
      <c r="EA57" s="827"/>
      <c r="EB57" s="827"/>
      <c r="EC57" s="827"/>
      <c r="ED57" s="827"/>
      <c r="EE57" s="827"/>
      <c r="EF57" s="827"/>
      <c r="EG57" s="827"/>
      <c r="EH57" s="827"/>
      <c r="EI57" s="827"/>
      <c r="EJ57" s="827"/>
      <c r="EK57" s="827"/>
      <c r="EL57" s="827"/>
      <c r="EM57" s="827"/>
      <c r="EN57" s="827"/>
      <c r="EO57" s="827"/>
      <c r="EP57" s="827"/>
      <c r="EQ57" s="827"/>
      <c r="ER57" s="827"/>
      <c r="ES57" s="827"/>
      <c r="ET57" s="827"/>
      <c r="EU57" s="827"/>
      <c r="EV57" s="827"/>
      <c r="EW57" s="827"/>
      <c r="EX57" s="827"/>
      <c r="EY57" s="827"/>
      <c r="EZ57" s="827"/>
      <c r="FA57" s="827"/>
      <c r="FB57" s="827"/>
      <c r="FC57" s="827"/>
      <c r="FD57" s="827"/>
      <c r="FE57" s="827"/>
      <c r="FF57" s="827"/>
      <c r="FG57" s="827"/>
      <c r="FH57" s="827"/>
      <c r="FI57" s="827"/>
      <c r="FJ57" s="827"/>
      <c r="FK57" s="827"/>
      <c r="FL57" s="827"/>
      <c r="FM57" s="827"/>
      <c r="FN57" s="827"/>
      <c r="FO57" s="827"/>
      <c r="FP57" s="827"/>
      <c r="FQ57" s="827"/>
      <c r="FR57" s="827"/>
      <c r="FS57" s="827"/>
      <c r="FT57" s="827"/>
      <c r="FU57" s="827"/>
      <c r="FV57" s="827"/>
      <c r="FW57" s="827"/>
      <c r="FX57" s="827"/>
      <c r="FY57" s="827"/>
      <c r="FZ57" s="827"/>
      <c r="GA57" s="827"/>
      <c r="GB57" s="827"/>
      <c r="GC57" s="827"/>
      <c r="GD57" s="827"/>
      <c r="GE57" s="827"/>
      <c r="GF57" s="827"/>
      <c r="GG57" s="827"/>
      <c r="GH57" s="827"/>
      <c r="GI57" s="827"/>
      <c r="GJ57" s="827"/>
      <c r="GK57" s="827"/>
      <c r="GL57" s="827"/>
      <c r="GM57" s="827"/>
      <c r="GN57" s="827"/>
      <c r="GO57" s="827"/>
      <c r="GP57" s="827"/>
      <c r="GQ57" s="827"/>
      <c r="GR57" s="827"/>
      <c r="GS57" s="827"/>
      <c r="GT57" s="827"/>
      <c r="GU57" s="827"/>
      <c r="GV57" s="827"/>
      <c r="GW57" s="827"/>
      <c r="GX57" s="827"/>
      <c r="GY57" s="827"/>
      <c r="GZ57" s="827"/>
      <c r="HA57" s="827"/>
      <c r="HB57" s="827"/>
      <c r="HC57" s="827"/>
      <c r="HD57" s="828"/>
      <c r="HE57" s="827"/>
      <c r="HF57" s="827"/>
      <c r="HG57" s="829"/>
    </row>
    <row r="58" spans="1:215" ht="15" customHeight="1" x14ac:dyDescent="0.2">
      <c r="A58" s="463" t="s">
        <v>160</v>
      </c>
      <c r="B58" s="827"/>
      <c r="C58" s="827"/>
      <c r="D58" s="827"/>
      <c r="E58" s="827"/>
      <c r="F58" s="827"/>
      <c r="G58" s="827"/>
      <c r="H58" s="827"/>
      <c r="I58" s="827"/>
      <c r="J58" s="827"/>
      <c r="K58" s="827"/>
      <c r="L58" s="827"/>
      <c r="M58" s="827"/>
      <c r="N58" s="827"/>
      <c r="O58" s="827"/>
      <c r="P58" s="827"/>
      <c r="Q58" s="827"/>
      <c r="R58" s="827"/>
      <c r="S58" s="827"/>
      <c r="T58" s="827"/>
      <c r="U58" s="827"/>
      <c r="V58" s="827"/>
      <c r="W58" s="827"/>
      <c r="X58" s="827"/>
      <c r="Y58" s="827"/>
      <c r="Z58" s="827"/>
      <c r="AA58" s="827"/>
      <c r="AB58" s="827"/>
      <c r="AC58" s="827"/>
      <c r="AD58" s="827"/>
      <c r="AE58" s="827"/>
      <c r="AF58" s="827"/>
      <c r="AG58" s="827"/>
      <c r="AH58" s="827"/>
      <c r="AI58" s="827"/>
      <c r="AJ58" s="827"/>
      <c r="AK58" s="827"/>
      <c r="AL58" s="827"/>
      <c r="AM58" s="827"/>
      <c r="AN58" s="827"/>
      <c r="AO58" s="827"/>
      <c r="AP58" s="827"/>
      <c r="AQ58" s="827"/>
      <c r="AR58" s="827"/>
      <c r="AS58" s="827"/>
      <c r="AT58" s="827"/>
      <c r="AU58" s="827"/>
      <c r="AV58" s="827"/>
      <c r="AW58" s="827"/>
      <c r="AX58" s="827"/>
      <c r="AY58" s="827"/>
      <c r="AZ58" s="827"/>
      <c r="BA58" s="827"/>
      <c r="BB58" s="827"/>
      <c r="BC58" s="827"/>
      <c r="BD58" s="827"/>
      <c r="BE58" s="827"/>
      <c r="BF58" s="827"/>
      <c r="BG58" s="827"/>
      <c r="BH58" s="827"/>
      <c r="BI58" s="827"/>
      <c r="BJ58" s="827"/>
      <c r="BK58" s="827"/>
      <c r="BL58" s="827"/>
      <c r="BM58" s="827"/>
      <c r="BN58" s="827"/>
      <c r="BO58" s="827"/>
      <c r="BP58" s="827"/>
      <c r="BQ58" s="827"/>
      <c r="BR58" s="827"/>
      <c r="BS58" s="827"/>
      <c r="BT58" s="827"/>
      <c r="BU58" s="827"/>
      <c r="BV58" s="827"/>
      <c r="BW58" s="827"/>
      <c r="BX58" s="827"/>
      <c r="BY58" s="827"/>
      <c r="BZ58" s="827"/>
      <c r="CA58" s="827"/>
      <c r="CB58" s="827"/>
      <c r="CC58" s="827"/>
      <c r="CD58" s="827"/>
      <c r="CE58" s="827"/>
      <c r="CF58" s="827"/>
      <c r="CG58" s="827"/>
      <c r="CH58" s="827"/>
      <c r="CI58" s="827"/>
      <c r="CJ58" s="827"/>
      <c r="CK58" s="827"/>
      <c r="CL58" s="827"/>
      <c r="CM58" s="827"/>
      <c r="CN58" s="827"/>
      <c r="CO58" s="827"/>
      <c r="CP58" s="827"/>
      <c r="CQ58" s="827"/>
      <c r="CR58" s="827"/>
      <c r="CS58" s="827"/>
      <c r="CT58" s="827"/>
      <c r="CU58" s="827"/>
      <c r="CV58" s="827"/>
      <c r="CW58" s="827"/>
      <c r="CX58" s="827"/>
      <c r="CY58" s="827"/>
      <c r="CZ58" s="827"/>
      <c r="DA58" s="827"/>
      <c r="DB58" s="827"/>
      <c r="DC58" s="827"/>
      <c r="DD58" s="827"/>
      <c r="DE58" s="827"/>
      <c r="DF58" s="827"/>
      <c r="DG58" s="827"/>
      <c r="DH58" s="827"/>
      <c r="DI58" s="827"/>
      <c r="DJ58" s="827"/>
      <c r="DK58" s="827"/>
      <c r="DL58" s="827"/>
      <c r="DM58" s="827"/>
      <c r="DN58" s="827"/>
      <c r="DO58" s="827"/>
      <c r="DP58" s="827"/>
      <c r="DQ58" s="827">
        <v>22.066276256481078</v>
      </c>
      <c r="DR58" s="827">
        <v>22.066276256481078</v>
      </c>
      <c r="DS58" s="827">
        <v>22.066276256481078</v>
      </c>
      <c r="DT58" s="827"/>
      <c r="DU58" s="827"/>
      <c r="DV58" s="827"/>
      <c r="DW58" s="827"/>
      <c r="DX58" s="827"/>
      <c r="DY58" s="827"/>
      <c r="DZ58" s="827"/>
      <c r="EA58" s="827"/>
      <c r="EB58" s="827"/>
      <c r="EC58" s="827"/>
      <c r="ED58" s="827"/>
      <c r="EE58" s="827"/>
      <c r="EF58" s="827"/>
      <c r="EG58" s="827"/>
      <c r="EH58" s="827"/>
      <c r="EI58" s="827"/>
      <c r="EJ58" s="827"/>
      <c r="EK58" s="827"/>
      <c r="EL58" s="827"/>
      <c r="EM58" s="827"/>
      <c r="EN58" s="827"/>
      <c r="EO58" s="827"/>
      <c r="EP58" s="827"/>
      <c r="EQ58" s="827"/>
      <c r="ER58" s="827"/>
      <c r="ES58" s="827"/>
      <c r="ET58" s="827"/>
      <c r="EU58" s="827"/>
      <c r="EV58" s="827"/>
      <c r="EW58" s="827"/>
      <c r="EX58" s="827"/>
      <c r="EY58" s="827"/>
      <c r="EZ58" s="827"/>
      <c r="FA58" s="827"/>
      <c r="FB58" s="827"/>
      <c r="FC58" s="827"/>
      <c r="FD58" s="827"/>
      <c r="FE58" s="827"/>
      <c r="FF58" s="827"/>
      <c r="FG58" s="827"/>
      <c r="FH58" s="827"/>
      <c r="FI58" s="827"/>
      <c r="FJ58" s="827"/>
      <c r="FK58" s="827"/>
      <c r="FL58" s="827"/>
      <c r="FM58" s="827"/>
      <c r="FN58" s="827"/>
      <c r="FO58" s="827"/>
      <c r="FP58" s="827"/>
      <c r="FQ58" s="827"/>
      <c r="FR58" s="827"/>
      <c r="FS58" s="827"/>
      <c r="FT58" s="827"/>
      <c r="FU58" s="827"/>
      <c r="FV58" s="827"/>
      <c r="FW58" s="827"/>
      <c r="FX58" s="827"/>
      <c r="FY58" s="827"/>
      <c r="FZ58" s="827"/>
      <c r="GA58" s="827"/>
      <c r="GB58" s="827"/>
      <c r="GC58" s="827"/>
      <c r="GD58" s="827"/>
      <c r="GE58" s="827"/>
      <c r="GF58" s="827"/>
      <c r="GG58" s="827"/>
      <c r="GH58" s="827"/>
      <c r="GI58" s="827"/>
      <c r="GJ58" s="827"/>
      <c r="GK58" s="827"/>
      <c r="GL58" s="827"/>
      <c r="GM58" s="827"/>
      <c r="GN58" s="827"/>
      <c r="GO58" s="827"/>
      <c r="GP58" s="827"/>
      <c r="GQ58" s="827"/>
      <c r="GR58" s="827"/>
      <c r="GS58" s="827"/>
      <c r="GT58" s="827"/>
      <c r="GU58" s="827"/>
      <c r="GV58" s="827"/>
      <c r="GW58" s="827"/>
      <c r="GX58" s="827"/>
      <c r="GY58" s="827"/>
      <c r="GZ58" s="827"/>
      <c r="HA58" s="827"/>
      <c r="HB58" s="827"/>
      <c r="HC58" s="827"/>
      <c r="HD58" s="828"/>
      <c r="HE58" s="827"/>
      <c r="HF58" s="827"/>
      <c r="HG58" s="829">
        <v>22.066276256481078</v>
      </c>
    </row>
    <row r="59" spans="1:215" ht="15" customHeight="1" x14ac:dyDescent="0.2">
      <c r="A59" s="463" t="s">
        <v>162</v>
      </c>
      <c r="B59" s="827">
        <v>-0.56719994382919481</v>
      </c>
      <c r="C59" s="827">
        <v>-0.56719994382919481</v>
      </c>
      <c r="D59" s="827">
        <v>-0.56719994382919481</v>
      </c>
      <c r="E59" s="827"/>
      <c r="F59" s="827"/>
      <c r="G59" s="827"/>
      <c r="H59" s="827"/>
      <c r="I59" s="827"/>
      <c r="J59" s="827"/>
      <c r="K59" s="827"/>
      <c r="L59" s="827"/>
      <c r="M59" s="827"/>
      <c r="N59" s="827"/>
      <c r="O59" s="827"/>
      <c r="P59" s="827"/>
      <c r="Q59" s="827"/>
      <c r="R59" s="827"/>
      <c r="S59" s="827"/>
      <c r="T59" s="827"/>
      <c r="U59" s="827"/>
      <c r="V59" s="827"/>
      <c r="W59" s="827"/>
      <c r="X59" s="827"/>
      <c r="Y59" s="827"/>
      <c r="Z59" s="827"/>
      <c r="AA59" s="827"/>
      <c r="AB59" s="827"/>
      <c r="AC59" s="827"/>
      <c r="AD59" s="827"/>
      <c r="AE59" s="827"/>
      <c r="AF59" s="827"/>
      <c r="AG59" s="827"/>
      <c r="AH59" s="827"/>
      <c r="AI59" s="827"/>
      <c r="AJ59" s="827"/>
      <c r="AK59" s="827"/>
      <c r="AL59" s="827"/>
      <c r="AM59" s="827"/>
      <c r="AN59" s="827"/>
      <c r="AO59" s="827"/>
      <c r="AP59" s="827"/>
      <c r="AQ59" s="827"/>
      <c r="AR59" s="827"/>
      <c r="AS59" s="827"/>
      <c r="AT59" s="827"/>
      <c r="AU59" s="827"/>
      <c r="AV59" s="827"/>
      <c r="AW59" s="827"/>
      <c r="AX59" s="827"/>
      <c r="AY59" s="827"/>
      <c r="AZ59" s="827"/>
      <c r="BA59" s="827"/>
      <c r="BB59" s="827"/>
      <c r="BC59" s="827"/>
      <c r="BD59" s="827"/>
      <c r="BE59" s="827"/>
      <c r="BF59" s="827"/>
      <c r="BG59" s="827"/>
      <c r="BH59" s="827"/>
      <c r="BI59" s="827"/>
      <c r="BJ59" s="827"/>
      <c r="BK59" s="827"/>
      <c r="BL59" s="827"/>
      <c r="BM59" s="827"/>
      <c r="BN59" s="827"/>
      <c r="BO59" s="827"/>
      <c r="BP59" s="827"/>
      <c r="BQ59" s="827"/>
      <c r="BR59" s="827"/>
      <c r="BS59" s="827"/>
      <c r="BT59" s="827"/>
      <c r="BU59" s="827"/>
      <c r="BV59" s="827"/>
      <c r="BW59" s="827"/>
      <c r="BX59" s="827"/>
      <c r="BY59" s="827"/>
      <c r="BZ59" s="827"/>
      <c r="CA59" s="827"/>
      <c r="CB59" s="827"/>
      <c r="CC59" s="827"/>
      <c r="CD59" s="827"/>
      <c r="CE59" s="827"/>
      <c r="CF59" s="827"/>
      <c r="CG59" s="827"/>
      <c r="CH59" s="827"/>
      <c r="CI59" s="827"/>
      <c r="CJ59" s="827"/>
      <c r="CK59" s="827"/>
      <c r="CL59" s="827"/>
      <c r="CM59" s="827"/>
      <c r="CN59" s="827"/>
      <c r="CO59" s="827"/>
      <c r="CP59" s="827"/>
      <c r="CQ59" s="827"/>
      <c r="CR59" s="827"/>
      <c r="CS59" s="827"/>
      <c r="CT59" s="827"/>
      <c r="CU59" s="827"/>
      <c r="CV59" s="827"/>
      <c r="CW59" s="827"/>
      <c r="CX59" s="827"/>
      <c r="CY59" s="827"/>
      <c r="CZ59" s="827"/>
      <c r="DA59" s="827"/>
      <c r="DB59" s="827"/>
      <c r="DC59" s="827"/>
      <c r="DD59" s="827"/>
      <c r="DE59" s="827"/>
      <c r="DF59" s="827"/>
      <c r="DG59" s="827"/>
      <c r="DH59" s="827"/>
      <c r="DI59" s="827"/>
      <c r="DJ59" s="827"/>
      <c r="DK59" s="827"/>
      <c r="DL59" s="827"/>
      <c r="DM59" s="827"/>
      <c r="DN59" s="827"/>
      <c r="DO59" s="827"/>
      <c r="DP59" s="827"/>
      <c r="DQ59" s="827"/>
      <c r="DR59" s="827"/>
      <c r="DS59" s="827"/>
      <c r="DT59" s="827"/>
      <c r="DU59" s="827"/>
      <c r="DV59" s="827"/>
      <c r="DW59" s="827"/>
      <c r="DX59" s="827"/>
      <c r="DY59" s="827"/>
      <c r="DZ59" s="827"/>
      <c r="EA59" s="827"/>
      <c r="EB59" s="827"/>
      <c r="EC59" s="827"/>
      <c r="ED59" s="827"/>
      <c r="EE59" s="827"/>
      <c r="EF59" s="827"/>
      <c r="EG59" s="827"/>
      <c r="EH59" s="827"/>
      <c r="EI59" s="827"/>
      <c r="EJ59" s="827"/>
      <c r="EK59" s="827"/>
      <c r="EL59" s="827"/>
      <c r="EM59" s="827"/>
      <c r="EN59" s="827"/>
      <c r="EO59" s="827"/>
      <c r="EP59" s="827"/>
      <c r="EQ59" s="827"/>
      <c r="ER59" s="827"/>
      <c r="ES59" s="827"/>
      <c r="ET59" s="827"/>
      <c r="EU59" s="827"/>
      <c r="EV59" s="827"/>
      <c r="EW59" s="827"/>
      <c r="EX59" s="827"/>
      <c r="EY59" s="827"/>
      <c r="EZ59" s="827"/>
      <c r="FA59" s="827"/>
      <c r="FB59" s="827"/>
      <c r="FC59" s="827"/>
      <c r="FD59" s="827"/>
      <c r="FE59" s="827"/>
      <c r="FF59" s="827"/>
      <c r="FG59" s="827"/>
      <c r="FH59" s="827"/>
      <c r="FI59" s="827"/>
      <c r="FJ59" s="827"/>
      <c r="FK59" s="827"/>
      <c r="FL59" s="827"/>
      <c r="FM59" s="827"/>
      <c r="FN59" s="827"/>
      <c r="FO59" s="827"/>
      <c r="FP59" s="827"/>
      <c r="FQ59" s="827"/>
      <c r="FR59" s="827"/>
      <c r="FS59" s="827"/>
      <c r="FT59" s="827"/>
      <c r="FU59" s="827"/>
      <c r="FV59" s="827"/>
      <c r="FW59" s="827"/>
      <c r="FX59" s="827"/>
      <c r="FY59" s="827"/>
      <c r="FZ59" s="827"/>
      <c r="GA59" s="827"/>
      <c r="GB59" s="827"/>
      <c r="GC59" s="827"/>
      <c r="GD59" s="827"/>
      <c r="GE59" s="827"/>
      <c r="GF59" s="827"/>
      <c r="GG59" s="827"/>
      <c r="GH59" s="827"/>
      <c r="GI59" s="827"/>
      <c r="GJ59" s="827"/>
      <c r="GK59" s="827"/>
      <c r="GL59" s="827"/>
      <c r="GM59" s="827"/>
      <c r="GN59" s="827"/>
      <c r="GO59" s="827"/>
      <c r="GP59" s="827"/>
      <c r="GQ59" s="827"/>
      <c r="GR59" s="827"/>
      <c r="GS59" s="827"/>
      <c r="GT59" s="827"/>
      <c r="GU59" s="827"/>
      <c r="GV59" s="827"/>
      <c r="GW59" s="827"/>
      <c r="GX59" s="827"/>
      <c r="GY59" s="827"/>
      <c r="GZ59" s="827"/>
      <c r="HA59" s="827"/>
      <c r="HB59" s="827"/>
      <c r="HC59" s="827"/>
      <c r="HD59" s="828"/>
      <c r="HE59" s="827"/>
      <c r="HF59" s="827"/>
      <c r="HG59" s="829">
        <v>-0.56719994382919481</v>
      </c>
    </row>
    <row r="60" spans="1:215" ht="15" customHeight="1" x14ac:dyDescent="0.2">
      <c r="A60" s="463" t="s">
        <v>65</v>
      </c>
      <c r="B60" s="827"/>
      <c r="C60" s="827"/>
      <c r="D60" s="827"/>
      <c r="E60" s="827"/>
      <c r="F60" s="827"/>
      <c r="G60" s="827"/>
      <c r="H60" s="827"/>
      <c r="I60" s="827"/>
      <c r="J60" s="827"/>
      <c r="K60" s="827"/>
      <c r="L60" s="827"/>
      <c r="M60" s="827"/>
      <c r="N60" s="827"/>
      <c r="O60" s="827"/>
      <c r="P60" s="827"/>
      <c r="Q60" s="827"/>
      <c r="R60" s="827"/>
      <c r="S60" s="827"/>
      <c r="T60" s="827"/>
      <c r="U60" s="827"/>
      <c r="V60" s="827"/>
      <c r="W60" s="827"/>
      <c r="X60" s="827"/>
      <c r="Y60" s="827"/>
      <c r="Z60" s="827"/>
      <c r="AA60" s="827"/>
      <c r="AB60" s="827"/>
      <c r="AC60" s="827"/>
      <c r="AD60" s="827"/>
      <c r="AE60" s="827"/>
      <c r="AF60" s="827"/>
      <c r="AG60" s="827"/>
      <c r="AH60" s="827"/>
      <c r="AI60" s="827"/>
      <c r="AJ60" s="827"/>
      <c r="AK60" s="827"/>
      <c r="AL60" s="827"/>
      <c r="AM60" s="827"/>
      <c r="AN60" s="827"/>
      <c r="AO60" s="827"/>
      <c r="AP60" s="827"/>
      <c r="AQ60" s="827"/>
      <c r="AR60" s="827"/>
      <c r="AS60" s="827"/>
      <c r="AT60" s="827"/>
      <c r="AU60" s="827"/>
      <c r="AV60" s="827"/>
      <c r="AW60" s="827"/>
      <c r="AX60" s="827"/>
      <c r="AY60" s="827"/>
      <c r="AZ60" s="827"/>
      <c r="BA60" s="827"/>
      <c r="BB60" s="827"/>
      <c r="BC60" s="827"/>
      <c r="BD60" s="827"/>
      <c r="BE60" s="827"/>
      <c r="BF60" s="827"/>
      <c r="BG60" s="827"/>
      <c r="BH60" s="827"/>
      <c r="BI60" s="827"/>
      <c r="BJ60" s="827"/>
      <c r="BK60" s="827"/>
      <c r="BL60" s="827"/>
      <c r="BM60" s="827"/>
      <c r="BN60" s="827"/>
      <c r="BO60" s="827"/>
      <c r="BP60" s="827"/>
      <c r="BQ60" s="827"/>
      <c r="BR60" s="827"/>
      <c r="BS60" s="827"/>
      <c r="BT60" s="827"/>
      <c r="BU60" s="827"/>
      <c r="BV60" s="827"/>
      <c r="BW60" s="827"/>
      <c r="BX60" s="827"/>
      <c r="BY60" s="827"/>
      <c r="BZ60" s="827"/>
      <c r="CA60" s="827"/>
      <c r="CB60" s="827"/>
      <c r="CC60" s="827"/>
      <c r="CD60" s="827"/>
      <c r="CE60" s="827"/>
      <c r="CF60" s="827"/>
      <c r="CG60" s="827"/>
      <c r="CH60" s="827"/>
      <c r="CI60" s="827"/>
      <c r="CJ60" s="827"/>
      <c r="CK60" s="827"/>
      <c r="CL60" s="827"/>
      <c r="CM60" s="827"/>
      <c r="CN60" s="827"/>
      <c r="CO60" s="827"/>
      <c r="CP60" s="827"/>
      <c r="CQ60" s="827"/>
      <c r="CR60" s="827"/>
      <c r="CS60" s="827"/>
      <c r="CT60" s="827"/>
      <c r="CU60" s="827"/>
      <c r="CV60" s="827"/>
      <c r="CW60" s="827"/>
      <c r="CX60" s="827"/>
      <c r="CY60" s="827"/>
      <c r="CZ60" s="827"/>
      <c r="DA60" s="827"/>
      <c r="DB60" s="827"/>
      <c r="DC60" s="827"/>
      <c r="DD60" s="827"/>
      <c r="DE60" s="827"/>
      <c r="DF60" s="827"/>
      <c r="DG60" s="827"/>
      <c r="DH60" s="827"/>
      <c r="DI60" s="827"/>
      <c r="DJ60" s="827"/>
      <c r="DK60" s="827"/>
      <c r="DL60" s="827"/>
      <c r="DM60" s="827"/>
      <c r="DN60" s="827"/>
      <c r="DO60" s="827"/>
      <c r="DP60" s="827"/>
      <c r="DQ60" s="827"/>
      <c r="DR60" s="827"/>
      <c r="DS60" s="827"/>
      <c r="DT60" s="827"/>
      <c r="DU60" s="827"/>
      <c r="DV60" s="827"/>
      <c r="DW60" s="827"/>
      <c r="DX60" s="827"/>
      <c r="DY60" s="827"/>
      <c r="DZ60" s="827"/>
      <c r="EA60" s="827"/>
      <c r="EB60" s="827"/>
      <c r="EC60" s="827"/>
      <c r="ED60" s="827"/>
      <c r="EE60" s="827"/>
      <c r="EF60" s="827"/>
      <c r="EG60" s="827"/>
      <c r="EH60" s="827"/>
      <c r="EI60" s="827"/>
      <c r="EJ60" s="827"/>
      <c r="EK60" s="827"/>
      <c r="EL60" s="827"/>
      <c r="EM60" s="827"/>
      <c r="EN60" s="827"/>
      <c r="EO60" s="827"/>
      <c r="EP60" s="827"/>
      <c r="EQ60" s="827"/>
      <c r="ER60" s="827"/>
      <c r="ES60" s="827"/>
      <c r="ET60" s="827"/>
      <c r="EU60" s="827"/>
      <c r="EV60" s="827"/>
      <c r="EW60" s="827"/>
      <c r="EX60" s="827"/>
      <c r="EY60" s="827"/>
      <c r="EZ60" s="827"/>
      <c r="FA60" s="827"/>
      <c r="FB60" s="827"/>
      <c r="FC60" s="827"/>
      <c r="FD60" s="827"/>
      <c r="FE60" s="827"/>
      <c r="FF60" s="827"/>
      <c r="FG60" s="827"/>
      <c r="FH60" s="827"/>
      <c r="FI60" s="827"/>
      <c r="FJ60" s="827"/>
      <c r="FK60" s="827"/>
      <c r="FL60" s="827"/>
      <c r="FM60" s="827"/>
      <c r="FN60" s="827"/>
      <c r="FO60" s="827"/>
      <c r="FP60" s="827"/>
      <c r="FQ60" s="827"/>
      <c r="FR60" s="827"/>
      <c r="FS60" s="827"/>
      <c r="FT60" s="827"/>
      <c r="FU60" s="827"/>
      <c r="FV60" s="827"/>
      <c r="FW60" s="827"/>
      <c r="FX60" s="827"/>
      <c r="FY60" s="827"/>
      <c r="FZ60" s="827"/>
      <c r="GA60" s="827"/>
      <c r="GB60" s="827">
        <v>0</v>
      </c>
      <c r="GC60" s="827">
        <v>0</v>
      </c>
      <c r="GD60" s="827">
        <v>0</v>
      </c>
      <c r="GE60" s="827"/>
      <c r="GF60" s="827"/>
      <c r="GG60" s="827"/>
      <c r="GH60" s="827"/>
      <c r="GI60" s="827"/>
      <c r="GJ60" s="827"/>
      <c r="GK60" s="827"/>
      <c r="GL60" s="827"/>
      <c r="GM60" s="827"/>
      <c r="GN60" s="827"/>
      <c r="GO60" s="827"/>
      <c r="GP60" s="827"/>
      <c r="GQ60" s="827"/>
      <c r="GR60" s="827"/>
      <c r="GS60" s="827"/>
      <c r="GT60" s="827"/>
      <c r="GU60" s="827"/>
      <c r="GV60" s="827"/>
      <c r="GW60" s="827"/>
      <c r="GX60" s="827"/>
      <c r="GY60" s="827"/>
      <c r="GZ60" s="827"/>
      <c r="HA60" s="827"/>
      <c r="HB60" s="827"/>
      <c r="HC60" s="827"/>
      <c r="HD60" s="828"/>
      <c r="HE60" s="827"/>
      <c r="HF60" s="827"/>
      <c r="HG60" s="829">
        <v>0</v>
      </c>
    </row>
    <row r="61" spans="1:215" ht="15" customHeight="1" x14ac:dyDescent="0.2">
      <c r="A61" s="463" t="s">
        <v>62</v>
      </c>
      <c r="B61" s="827"/>
      <c r="C61" s="827"/>
      <c r="D61" s="827"/>
      <c r="E61" s="827"/>
      <c r="F61" s="827"/>
      <c r="G61" s="827"/>
      <c r="H61" s="827"/>
      <c r="I61" s="827"/>
      <c r="J61" s="827"/>
      <c r="K61" s="827"/>
      <c r="L61" s="827"/>
      <c r="M61" s="827"/>
      <c r="N61" s="827"/>
      <c r="O61" s="827"/>
      <c r="P61" s="827"/>
      <c r="Q61" s="827"/>
      <c r="R61" s="827"/>
      <c r="S61" s="827"/>
      <c r="T61" s="827"/>
      <c r="U61" s="827"/>
      <c r="V61" s="827"/>
      <c r="W61" s="827"/>
      <c r="X61" s="827"/>
      <c r="Y61" s="827"/>
      <c r="Z61" s="827"/>
      <c r="AA61" s="827"/>
      <c r="AB61" s="827"/>
      <c r="AC61" s="827"/>
      <c r="AD61" s="827"/>
      <c r="AE61" s="827"/>
      <c r="AF61" s="827"/>
      <c r="AG61" s="827"/>
      <c r="AH61" s="827"/>
      <c r="AI61" s="827"/>
      <c r="AJ61" s="827"/>
      <c r="AK61" s="827"/>
      <c r="AL61" s="827"/>
      <c r="AM61" s="827"/>
      <c r="AN61" s="827"/>
      <c r="AO61" s="827"/>
      <c r="AP61" s="827"/>
      <c r="AQ61" s="827"/>
      <c r="AR61" s="827"/>
      <c r="AS61" s="827"/>
      <c r="AT61" s="827"/>
      <c r="AU61" s="827"/>
      <c r="AV61" s="827"/>
      <c r="AW61" s="827"/>
      <c r="AX61" s="827"/>
      <c r="AY61" s="827"/>
      <c r="AZ61" s="827"/>
      <c r="BA61" s="827"/>
      <c r="BB61" s="827"/>
      <c r="BC61" s="827"/>
      <c r="BD61" s="827"/>
      <c r="BE61" s="827"/>
      <c r="BF61" s="827"/>
      <c r="BG61" s="827"/>
      <c r="BH61" s="827"/>
      <c r="BI61" s="827"/>
      <c r="BJ61" s="827"/>
      <c r="BK61" s="827"/>
      <c r="BL61" s="827"/>
      <c r="BM61" s="827"/>
      <c r="BN61" s="827"/>
      <c r="BO61" s="827"/>
      <c r="BP61" s="827"/>
      <c r="BQ61" s="827"/>
      <c r="BR61" s="827">
        <v>2.625</v>
      </c>
      <c r="BS61" s="827">
        <v>2.625</v>
      </c>
      <c r="BT61" s="827">
        <v>2.625</v>
      </c>
      <c r="BU61" s="827"/>
      <c r="BV61" s="827"/>
      <c r="BW61" s="827"/>
      <c r="BX61" s="827"/>
      <c r="BY61" s="827"/>
      <c r="BZ61" s="827"/>
      <c r="CA61" s="827"/>
      <c r="CB61" s="827"/>
      <c r="CC61" s="827"/>
      <c r="CD61" s="827"/>
      <c r="CE61" s="827"/>
      <c r="CF61" s="827"/>
      <c r="CG61" s="827"/>
      <c r="CH61" s="827"/>
      <c r="CI61" s="827"/>
      <c r="CJ61" s="827"/>
      <c r="CK61" s="827"/>
      <c r="CL61" s="827"/>
      <c r="CM61" s="827"/>
      <c r="CN61" s="827"/>
      <c r="CO61" s="827"/>
      <c r="CP61" s="827"/>
      <c r="CQ61" s="827"/>
      <c r="CR61" s="827"/>
      <c r="CS61" s="827"/>
      <c r="CT61" s="827"/>
      <c r="CU61" s="827"/>
      <c r="CV61" s="827"/>
      <c r="CW61" s="827"/>
      <c r="CX61" s="827"/>
      <c r="CY61" s="827"/>
      <c r="CZ61" s="827"/>
      <c r="DA61" s="827"/>
      <c r="DB61" s="827"/>
      <c r="DC61" s="827"/>
      <c r="DD61" s="827"/>
      <c r="DE61" s="827"/>
      <c r="DF61" s="827"/>
      <c r="DG61" s="827"/>
      <c r="DH61" s="827"/>
      <c r="DI61" s="827"/>
      <c r="DJ61" s="827"/>
      <c r="DK61" s="827"/>
      <c r="DL61" s="827"/>
      <c r="DM61" s="827"/>
      <c r="DN61" s="827"/>
      <c r="DO61" s="827"/>
      <c r="DP61" s="827"/>
      <c r="DQ61" s="827"/>
      <c r="DR61" s="827"/>
      <c r="DS61" s="827"/>
      <c r="DT61" s="827"/>
      <c r="DU61" s="827"/>
      <c r="DV61" s="827"/>
      <c r="DW61" s="827"/>
      <c r="DX61" s="827"/>
      <c r="DY61" s="827"/>
      <c r="DZ61" s="827"/>
      <c r="EA61" s="827"/>
      <c r="EB61" s="827"/>
      <c r="EC61" s="827"/>
      <c r="ED61" s="827"/>
      <c r="EE61" s="827"/>
      <c r="EF61" s="827"/>
      <c r="EG61" s="827"/>
      <c r="EH61" s="827"/>
      <c r="EI61" s="827"/>
      <c r="EJ61" s="827"/>
      <c r="EK61" s="827"/>
      <c r="EL61" s="827"/>
      <c r="EM61" s="827"/>
      <c r="EN61" s="827"/>
      <c r="EO61" s="827"/>
      <c r="EP61" s="827"/>
      <c r="EQ61" s="827"/>
      <c r="ER61" s="827"/>
      <c r="ES61" s="827"/>
      <c r="ET61" s="827"/>
      <c r="EU61" s="827"/>
      <c r="EV61" s="827"/>
      <c r="EW61" s="827"/>
      <c r="EX61" s="827"/>
      <c r="EY61" s="827"/>
      <c r="EZ61" s="827"/>
      <c r="FA61" s="827"/>
      <c r="FB61" s="827"/>
      <c r="FC61" s="827"/>
      <c r="FD61" s="827"/>
      <c r="FE61" s="827"/>
      <c r="FF61" s="827"/>
      <c r="FG61" s="827"/>
      <c r="FH61" s="827"/>
      <c r="FI61" s="827"/>
      <c r="FJ61" s="827"/>
      <c r="FK61" s="827"/>
      <c r="FL61" s="827"/>
      <c r="FM61" s="827"/>
      <c r="FN61" s="827"/>
      <c r="FO61" s="827"/>
      <c r="FP61" s="827"/>
      <c r="FQ61" s="827"/>
      <c r="FR61" s="827"/>
      <c r="FS61" s="827"/>
      <c r="FT61" s="827"/>
      <c r="FU61" s="827"/>
      <c r="FV61" s="827"/>
      <c r="FW61" s="827"/>
      <c r="FX61" s="827"/>
      <c r="FY61" s="827"/>
      <c r="FZ61" s="827"/>
      <c r="GA61" s="827"/>
      <c r="GB61" s="827"/>
      <c r="GC61" s="827"/>
      <c r="GD61" s="827"/>
      <c r="GE61" s="827"/>
      <c r="GF61" s="827"/>
      <c r="GG61" s="827"/>
      <c r="GH61" s="827"/>
      <c r="GI61" s="827"/>
      <c r="GJ61" s="827"/>
      <c r="GK61" s="827"/>
      <c r="GL61" s="827"/>
      <c r="GM61" s="827"/>
      <c r="GN61" s="827"/>
      <c r="GO61" s="827"/>
      <c r="GP61" s="827"/>
      <c r="GQ61" s="827"/>
      <c r="GR61" s="827"/>
      <c r="GS61" s="827"/>
      <c r="GT61" s="827"/>
      <c r="GU61" s="827"/>
      <c r="GV61" s="827"/>
      <c r="GW61" s="827"/>
      <c r="GX61" s="827"/>
      <c r="GY61" s="827"/>
      <c r="GZ61" s="827"/>
      <c r="HA61" s="827"/>
      <c r="HB61" s="827"/>
      <c r="HC61" s="827"/>
      <c r="HD61" s="828"/>
      <c r="HE61" s="827"/>
      <c r="HF61" s="827"/>
      <c r="HG61" s="829">
        <v>2.625</v>
      </c>
    </row>
    <row r="62" spans="1:215" ht="15" customHeight="1" x14ac:dyDescent="0.2">
      <c r="A62" s="463" t="s">
        <v>123</v>
      </c>
      <c r="B62" s="827"/>
      <c r="C62" s="827"/>
      <c r="D62" s="827"/>
      <c r="E62" s="827"/>
      <c r="F62" s="827"/>
      <c r="G62" s="827"/>
      <c r="H62" s="827"/>
      <c r="I62" s="827"/>
      <c r="J62" s="827"/>
      <c r="K62" s="827"/>
      <c r="L62" s="827"/>
      <c r="M62" s="827"/>
      <c r="N62" s="827"/>
      <c r="O62" s="827"/>
      <c r="P62" s="827"/>
      <c r="Q62" s="827"/>
      <c r="R62" s="827"/>
      <c r="S62" s="827"/>
      <c r="T62" s="827"/>
      <c r="U62" s="827"/>
      <c r="V62" s="827"/>
      <c r="W62" s="827"/>
      <c r="X62" s="827"/>
      <c r="Y62" s="827"/>
      <c r="Z62" s="827"/>
      <c r="AA62" s="827"/>
      <c r="AB62" s="827"/>
      <c r="AC62" s="827"/>
      <c r="AD62" s="827"/>
      <c r="AE62" s="827"/>
      <c r="AF62" s="827"/>
      <c r="AG62" s="827"/>
      <c r="AH62" s="827"/>
      <c r="AI62" s="827"/>
      <c r="AJ62" s="827"/>
      <c r="AK62" s="827"/>
      <c r="AL62" s="827"/>
      <c r="AM62" s="827"/>
      <c r="AN62" s="827"/>
      <c r="AO62" s="827"/>
      <c r="AP62" s="827"/>
      <c r="AQ62" s="827"/>
      <c r="AR62" s="827"/>
      <c r="AS62" s="827"/>
      <c r="AT62" s="827"/>
      <c r="AU62" s="827"/>
      <c r="AV62" s="827"/>
      <c r="AW62" s="827"/>
      <c r="AX62" s="827"/>
      <c r="AY62" s="827"/>
      <c r="AZ62" s="827"/>
      <c r="BA62" s="827"/>
      <c r="BB62" s="827"/>
      <c r="BC62" s="827"/>
      <c r="BD62" s="827"/>
      <c r="BE62" s="827"/>
      <c r="BF62" s="827"/>
      <c r="BG62" s="827"/>
      <c r="BH62" s="827"/>
      <c r="BI62" s="827"/>
      <c r="BJ62" s="827"/>
      <c r="BK62" s="827"/>
      <c r="BL62" s="827"/>
      <c r="BM62" s="827"/>
      <c r="BN62" s="827"/>
      <c r="BO62" s="827"/>
      <c r="BP62" s="827"/>
      <c r="BQ62" s="827"/>
      <c r="BR62" s="827"/>
      <c r="BS62" s="827"/>
      <c r="BT62" s="827"/>
      <c r="BU62" s="827"/>
      <c r="BV62" s="827"/>
      <c r="BW62" s="827"/>
      <c r="BX62" s="827"/>
      <c r="BY62" s="827"/>
      <c r="BZ62" s="827"/>
      <c r="CA62" s="827"/>
      <c r="CB62" s="827"/>
      <c r="CC62" s="827"/>
      <c r="CD62" s="827">
        <v>4.625</v>
      </c>
      <c r="CE62" s="827">
        <v>4.625</v>
      </c>
      <c r="CF62" s="827">
        <v>4.625</v>
      </c>
      <c r="CG62" s="827"/>
      <c r="CH62" s="827"/>
      <c r="CI62" s="827"/>
      <c r="CJ62" s="827"/>
      <c r="CK62" s="827"/>
      <c r="CL62" s="827"/>
      <c r="CM62" s="827"/>
      <c r="CN62" s="827"/>
      <c r="CO62" s="827"/>
      <c r="CP62" s="827"/>
      <c r="CQ62" s="827"/>
      <c r="CR62" s="827"/>
      <c r="CS62" s="827"/>
      <c r="CT62" s="827"/>
      <c r="CU62" s="827"/>
      <c r="CV62" s="827"/>
      <c r="CW62" s="827"/>
      <c r="CX62" s="827"/>
      <c r="CY62" s="827"/>
      <c r="CZ62" s="827"/>
      <c r="DA62" s="827"/>
      <c r="DB62" s="827"/>
      <c r="DC62" s="827"/>
      <c r="DD62" s="827"/>
      <c r="DE62" s="827"/>
      <c r="DF62" s="827"/>
      <c r="DG62" s="827"/>
      <c r="DH62" s="827"/>
      <c r="DI62" s="827"/>
      <c r="DJ62" s="827"/>
      <c r="DK62" s="827"/>
      <c r="DL62" s="827"/>
      <c r="DM62" s="827"/>
      <c r="DN62" s="827"/>
      <c r="DO62" s="827"/>
      <c r="DP62" s="827"/>
      <c r="DQ62" s="827"/>
      <c r="DR62" s="827"/>
      <c r="DS62" s="827"/>
      <c r="DT62" s="827"/>
      <c r="DU62" s="827"/>
      <c r="DV62" s="827"/>
      <c r="DW62" s="827"/>
      <c r="DX62" s="827"/>
      <c r="DY62" s="827"/>
      <c r="DZ62" s="827"/>
      <c r="EA62" s="827"/>
      <c r="EB62" s="827"/>
      <c r="EC62" s="827"/>
      <c r="ED62" s="827"/>
      <c r="EE62" s="827"/>
      <c r="EF62" s="827"/>
      <c r="EG62" s="827"/>
      <c r="EH62" s="827"/>
      <c r="EI62" s="827"/>
      <c r="EJ62" s="827"/>
      <c r="EK62" s="827"/>
      <c r="EL62" s="827"/>
      <c r="EM62" s="827"/>
      <c r="EN62" s="827"/>
      <c r="EO62" s="827"/>
      <c r="EP62" s="827"/>
      <c r="EQ62" s="827"/>
      <c r="ER62" s="827"/>
      <c r="ES62" s="827"/>
      <c r="ET62" s="827"/>
      <c r="EU62" s="827"/>
      <c r="EV62" s="827"/>
      <c r="EW62" s="827"/>
      <c r="EX62" s="827"/>
      <c r="EY62" s="827"/>
      <c r="EZ62" s="827"/>
      <c r="FA62" s="827"/>
      <c r="FB62" s="827"/>
      <c r="FC62" s="827"/>
      <c r="FD62" s="827"/>
      <c r="FE62" s="827"/>
      <c r="FF62" s="827"/>
      <c r="FG62" s="827"/>
      <c r="FH62" s="827"/>
      <c r="FI62" s="827"/>
      <c r="FJ62" s="827"/>
      <c r="FK62" s="827"/>
      <c r="FL62" s="827"/>
      <c r="FM62" s="827"/>
      <c r="FN62" s="827"/>
      <c r="FO62" s="827"/>
      <c r="FP62" s="827"/>
      <c r="FQ62" s="827"/>
      <c r="FR62" s="827"/>
      <c r="FS62" s="827"/>
      <c r="FT62" s="827"/>
      <c r="FU62" s="827"/>
      <c r="FV62" s="827"/>
      <c r="FW62" s="827"/>
      <c r="FX62" s="827"/>
      <c r="FY62" s="827"/>
      <c r="FZ62" s="827"/>
      <c r="GA62" s="827"/>
      <c r="GB62" s="827"/>
      <c r="GC62" s="827"/>
      <c r="GD62" s="827"/>
      <c r="GE62" s="827"/>
      <c r="GF62" s="827"/>
      <c r="GG62" s="827"/>
      <c r="GH62" s="827"/>
      <c r="GI62" s="827"/>
      <c r="GJ62" s="827"/>
      <c r="GK62" s="827"/>
      <c r="GL62" s="827"/>
      <c r="GM62" s="827"/>
      <c r="GN62" s="827"/>
      <c r="GO62" s="827"/>
      <c r="GP62" s="827"/>
      <c r="GQ62" s="827"/>
      <c r="GR62" s="827"/>
      <c r="GS62" s="827"/>
      <c r="GT62" s="827"/>
      <c r="GU62" s="827"/>
      <c r="GV62" s="827"/>
      <c r="GW62" s="827"/>
      <c r="GX62" s="827"/>
      <c r="GY62" s="827"/>
      <c r="GZ62" s="827"/>
      <c r="HA62" s="827"/>
      <c r="HB62" s="827"/>
      <c r="HC62" s="827"/>
      <c r="HD62" s="828"/>
      <c r="HE62" s="827"/>
      <c r="HF62" s="827"/>
      <c r="HG62" s="829">
        <v>4.625</v>
      </c>
    </row>
    <row r="63" spans="1:215" ht="15" customHeight="1" x14ac:dyDescent="0.2">
      <c r="A63" s="463" t="s">
        <v>202</v>
      </c>
      <c r="B63" s="827"/>
      <c r="C63" s="827"/>
      <c r="D63" s="827"/>
      <c r="E63" s="827"/>
      <c r="F63" s="827"/>
      <c r="G63" s="827"/>
      <c r="H63" s="827"/>
      <c r="I63" s="827"/>
      <c r="J63" s="827"/>
      <c r="K63" s="827"/>
      <c r="L63" s="827"/>
      <c r="M63" s="827"/>
      <c r="N63" s="827"/>
      <c r="O63" s="827"/>
      <c r="P63" s="827"/>
      <c r="Q63" s="827"/>
      <c r="R63" s="827"/>
      <c r="S63" s="827"/>
      <c r="T63" s="827"/>
      <c r="U63" s="827"/>
      <c r="V63" s="827"/>
      <c r="W63" s="827"/>
      <c r="X63" s="827"/>
      <c r="Y63" s="827"/>
      <c r="Z63" s="827"/>
      <c r="AA63" s="827"/>
      <c r="AB63" s="827"/>
      <c r="AC63" s="827"/>
      <c r="AD63" s="827"/>
      <c r="AE63" s="827"/>
      <c r="AF63" s="827"/>
      <c r="AG63" s="827"/>
      <c r="AH63" s="827"/>
      <c r="AI63" s="827"/>
      <c r="AJ63" s="827"/>
      <c r="AK63" s="827"/>
      <c r="AL63" s="827"/>
      <c r="AM63" s="827"/>
      <c r="AN63" s="827"/>
      <c r="AO63" s="827"/>
      <c r="AP63" s="827"/>
      <c r="AQ63" s="827"/>
      <c r="AR63" s="827"/>
      <c r="AS63" s="827"/>
      <c r="AT63" s="827"/>
      <c r="AU63" s="827"/>
      <c r="AV63" s="827"/>
      <c r="AW63" s="827"/>
      <c r="AX63" s="827"/>
      <c r="AY63" s="827"/>
      <c r="AZ63" s="827"/>
      <c r="BA63" s="827"/>
      <c r="BB63" s="827"/>
      <c r="BC63" s="827"/>
      <c r="BD63" s="827"/>
      <c r="BE63" s="827"/>
      <c r="BF63" s="827"/>
      <c r="BG63" s="827"/>
      <c r="BH63" s="827"/>
      <c r="BI63" s="827"/>
      <c r="BJ63" s="827"/>
      <c r="BK63" s="827"/>
      <c r="BL63" s="827"/>
      <c r="BM63" s="827"/>
      <c r="BN63" s="827"/>
      <c r="BO63" s="827"/>
      <c r="BP63" s="827"/>
      <c r="BQ63" s="827"/>
      <c r="BR63" s="827"/>
      <c r="BS63" s="827"/>
      <c r="BT63" s="827"/>
      <c r="BU63" s="827"/>
      <c r="BV63" s="827"/>
      <c r="BW63" s="827"/>
      <c r="BX63" s="827"/>
      <c r="BY63" s="827"/>
      <c r="BZ63" s="827"/>
      <c r="CA63" s="827"/>
      <c r="CB63" s="827"/>
      <c r="CC63" s="827"/>
      <c r="CD63" s="827"/>
      <c r="CE63" s="827"/>
      <c r="CF63" s="827"/>
      <c r="CG63" s="827"/>
      <c r="CH63" s="827"/>
      <c r="CI63" s="827"/>
      <c r="CJ63" s="827"/>
      <c r="CK63" s="827"/>
      <c r="CL63" s="827"/>
      <c r="CM63" s="827"/>
      <c r="CN63" s="827"/>
      <c r="CO63" s="827"/>
      <c r="CP63" s="827"/>
      <c r="CQ63" s="827"/>
      <c r="CR63" s="827"/>
      <c r="CS63" s="827"/>
      <c r="CT63" s="827"/>
      <c r="CU63" s="827"/>
      <c r="CV63" s="827"/>
      <c r="CW63" s="827"/>
      <c r="CX63" s="827"/>
      <c r="CY63" s="827"/>
      <c r="CZ63" s="827"/>
      <c r="DA63" s="827"/>
      <c r="DB63" s="827"/>
      <c r="DC63" s="827"/>
      <c r="DD63" s="827"/>
      <c r="DE63" s="827"/>
      <c r="DF63" s="827"/>
      <c r="DG63" s="827"/>
      <c r="DH63" s="827"/>
      <c r="DI63" s="827"/>
      <c r="DJ63" s="827"/>
      <c r="DK63" s="827"/>
      <c r="DL63" s="827"/>
      <c r="DM63" s="827"/>
      <c r="DN63" s="827"/>
      <c r="DO63" s="827"/>
      <c r="DP63" s="827"/>
      <c r="DQ63" s="827"/>
      <c r="DR63" s="827"/>
      <c r="DS63" s="827"/>
      <c r="DT63" s="827"/>
      <c r="DU63" s="827"/>
      <c r="DV63" s="827"/>
      <c r="DW63" s="827"/>
      <c r="DX63" s="827"/>
      <c r="DY63" s="827"/>
      <c r="DZ63" s="827"/>
      <c r="EA63" s="827"/>
      <c r="EB63" s="827"/>
      <c r="EC63" s="827"/>
      <c r="ED63" s="827"/>
      <c r="EE63" s="827"/>
      <c r="EF63" s="827"/>
      <c r="EG63" s="827"/>
      <c r="EH63" s="827"/>
      <c r="EI63" s="827"/>
      <c r="EJ63" s="827"/>
      <c r="EK63" s="827"/>
      <c r="EL63" s="827"/>
      <c r="EM63" s="827"/>
      <c r="EN63" s="827"/>
      <c r="EO63" s="827"/>
      <c r="EP63" s="827"/>
      <c r="EQ63" s="827"/>
      <c r="ER63" s="827"/>
      <c r="ES63" s="827"/>
      <c r="ET63" s="827"/>
      <c r="EU63" s="827"/>
      <c r="EV63" s="827"/>
      <c r="EW63" s="827"/>
      <c r="EX63" s="827"/>
      <c r="EY63" s="827"/>
      <c r="EZ63" s="827"/>
      <c r="FA63" s="827"/>
      <c r="FB63" s="827"/>
      <c r="FC63" s="827"/>
      <c r="FD63" s="827"/>
      <c r="FE63" s="827"/>
      <c r="FF63" s="827"/>
      <c r="FG63" s="827"/>
      <c r="FH63" s="827"/>
      <c r="FI63" s="827"/>
      <c r="FJ63" s="827"/>
      <c r="FK63" s="827"/>
      <c r="FL63" s="827"/>
      <c r="FM63" s="827"/>
      <c r="FN63" s="827"/>
      <c r="FO63" s="827"/>
      <c r="FP63" s="827"/>
      <c r="FQ63" s="827"/>
      <c r="FR63" s="827"/>
      <c r="FS63" s="827"/>
      <c r="FT63" s="827"/>
      <c r="FU63" s="827"/>
      <c r="FV63" s="827"/>
      <c r="FW63" s="827"/>
      <c r="FX63" s="827"/>
      <c r="FY63" s="827"/>
      <c r="FZ63" s="827"/>
      <c r="GA63" s="827"/>
      <c r="GB63" s="827"/>
      <c r="GC63" s="827"/>
      <c r="GD63" s="827"/>
      <c r="GE63" s="827"/>
      <c r="GF63" s="827"/>
      <c r="GG63" s="827"/>
      <c r="GH63" s="827"/>
      <c r="GI63" s="827"/>
      <c r="GJ63" s="827"/>
      <c r="GK63" s="827"/>
      <c r="GL63" s="827"/>
      <c r="GM63" s="827"/>
      <c r="GN63" s="827"/>
      <c r="GO63" s="827"/>
      <c r="GP63" s="827"/>
      <c r="GQ63" s="827"/>
      <c r="GR63" s="827"/>
      <c r="GS63" s="827"/>
      <c r="GT63" s="827"/>
      <c r="GU63" s="827"/>
      <c r="GV63" s="827"/>
      <c r="GW63" s="827"/>
      <c r="GX63" s="827"/>
      <c r="GY63" s="827"/>
      <c r="GZ63" s="827"/>
      <c r="HA63" s="827"/>
      <c r="HB63" s="827"/>
      <c r="HC63" s="827"/>
      <c r="HD63" s="828"/>
      <c r="HE63" s="827"/>
      <c r="HF63" s="827"/>
      <c r="HG63" s="829"/>
    </row>
    <row r="64" spans="1:215" ht="15" customHeight="1" x14ac:dyDescent="0.2">
      <c r="A64" s="463" t="s">
        <v>180</v>
      </c>
      <c r="B64" s="827"/>
      <c r="C64" s="827"/>
      <c r="D64" s="827"/>
      <c r="E64" s="827"/>
      <c r="F64" s="827"/>
      <c r="G64" s="827"/>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7"/>
      <c r="AY64" s="827"/>
      <c r="AZ64" s="827"/>
      <c r="BA64" s="827"/>
      <c r="BB64" s="827"/>
      <c r="BC64" s="827"/>
      <c r="BD64" s="827"/>
      <c r="BE64" s="827"/>
      <c r="BF64" s="827"/>
      <c r="BG64" s="827"/>
      <c r="BH64" s="827"/>
      <c r="BI64" s="827"/>
      <c r="BJ64" s="827"/>
      <c r="BK64" s="827"/>
      <c r="BL64" s="827"/>
      <c r="BM64" s="827"/>
      <c r="BN64" s="827"/>
      <c r="BO64" s="827"/>
      <c r="BP64" s="827"/>
      <c r="BQ64" s="827"/>
      <c r="BR64" s="827"/>
      <c r="BS64" s="827"/>
      <c r="BT64" s="827"/>
      <c r="BU64" s="827"/>
      <c r="BV64" s="827"/>
      <c r="BW64" s="827"/>
      <c r="BX64" s="827"/>
      <c r="BY64" s="827"/>
      <c r="BZ64" s="827"/>
      <c r="CA64" s="827"/>
      <c r="CB64" s="827"/>
      <c r="CC64" s="827"/>
      <c r="CD64" s="827"/>
      <c r="CE64" s="827"/>
      <c r="CF64" s="827"/>
      <c r="CG64" s="827"/>
      <c r="CH64" s="827"/>
      <c r="CI64" s="827"/>
      <c r="CJ64" s="827"/>
      <c r="CK64" s="827"/>
      <c r="CL64" s="827"/>
      <c r="CM64" s="827"/>
      <c r="CN64" s="827"/>
      <c r="CO64" s="827"/>
      <c r="CP64" s="827"/>
      <c r="CQ64" s="827"/>
      <c r="CR64" s="827"/>
      <c r="CS64" s="827"/>
      <c r="CT64" s="827"/>
      <c r="CU64" s="827"/>
      <c r="CV64" s="827"/>
      <c r="CW64" s="827"/>
      <c r="CX64" s="827"/>
      <c r="CY64" s="827"/>
      <c r="CZ64" s="827"/>
      <c r="DA64" s="827"/>
      <c r="DB64" s="827"/>
      <c r="DC64" s="827"/>
      <c r="DD64" s="827"/>
      <c r="DE64" s="827"/>
      <c r="DF64" s="827"/>
      <c r="DG64" s="827"/>
      <c r="DH64" s="827"/>
      <c r="DI64" s="827"/>
      <c r="DJ64" s="827"/>
      <c r="DK64" s="827"/>
      <c r="DL64" s="827"/>
      <c r="DM64" s="827"/>
      <c r="DN64" s="827"/>
      <c r="DO64" s="827"/>
      <c r="DP64" s="827"/>
      <c r="DQ64" s="827"/>
      <c r="DR64" s="827"/>
      <c r="DS64" s="827"/>
      <c r="DT64" s="827"/>
      <c r="DU64" s="827"/>
      <c r="DV64" s="827"/>
      <c r="DW64" s="827"/>
      <c r="DX64" s="827"/>
      <c r="DY64" s="827"/>
      <c r="DZ64" s="827"/>
      <c r="EA64" s="827"/>
      <c r="EB64" s="827"/>
      <c r="EC64" s="827"/>
      <c r="ED64" s="827"/>
      <c r="EE64" s="827"/>
      <c r="EF64" s="827"/>
      <c r="EG64" s="827"/>
      <c r="EH64" s="827"/>
      <c r="EI64" s="827"/>
      <c r="EJ64" s="827"/>
      <c r="EK64" s="827"/>
      <c r="EL64" s="827"/>
      <c r="EM64" s="827">
        <v>51.99</v>
      </c>
      <c r="EN64" s="827">
        <v>51.99</v>
      </c>
      <c r="EO64" s="827"/>
      <c r="EP64" s="827"/>
      <c r="EQ64" s="827"/>
      <c r="ER64" s="827"/>
      <c r="ES64" s="827">
        <v>51.99</v>
      </c>
      <c r="ET64" s="827"/>
      <c r="EU64" s="827"/>
      <c r="EV64" s="827"/>
      <c r="EW64" s="827"/>
      <c r="EX64" s="827"/>
      <c r="EY64" s="827"/>
      <c r="EZ64" s="827"/>
      <c r="FA64" s="827"/>
      <c r="FB64" s="827"/>
      <c r="FC64" s="827"/>
      <c r="FD64" s="827"/>
      <c r="FE64" s="827"/>
      <c r="FF64" s="827"/>
      <c r="FG64" s="827"/>
      <c r="FH64" s="827"/>
      <c r="FI64" s="827"/>
      <c r="FJ64" s="827"/>
      <c r="FK64" s="827"/>
      <c r="FL64" s="827"/>
      <c r="FM64" s="827"/>
      <c r="FN64" s="827"/>
      <c r="FO64" s="827"/>
      <c r="FP64" s="827"/>
      <c r="FQ64" s="827"/>
      <c r="FR64" s="827"/>
      <c r="FS64" s="827"/>
      <c r="FT64" s="827"/>
      <c r="FU64" s="827"/>
      <c r="FV64" s="827"/>
      <c r="FW64" s="827"/>
      <c r="FX64" s="827"/>
      <c r="FY64" s="827"/>
      <c r="FZ64" s="827"/>
      <c r="GA64" s="827"/>
      <c r="GB64" s="827"/>
      <c r="GC64" s="827"/>
      <c r="GD64" s="827"/>
      <c r="GE64" s="827"/>
      <c r="GF64" s="827"/>
      <c r="GG64" s="827"/>
      <c r="GH64" s="827"/>
      <c r="GI64" s="827"/>
      <c r="GJ64" s="827"/>
      <c r="GK64" s="827"/>
      <c r="GL64" s="827"/>
      <c r="GM64" s="827"/>
      <c r="GN64" s="827"/>
      <c r="GO64" s="827"/>
      <c r="GP64" s="827"/>
      <c r="GQ64" s="827"/>
      <c r="GR64" s="827"/>
      <c r="GS64" s="827"/>
      <c r="GT64" s="827"/>
      <c r="GU64" s="827"/>
      <c r="GV64" s="827"/>
      <c r="GW64" s="827"/>
      <c r="GX64" s="827"/>
      <c r="GY64" s="827"/>
      <c r="GZ64" s="827"/>
      <c r="HA64" s="827"/>
      <c r="HB64" s="827"/>
      <c r="HC64" s="827"/>
      <c r="HD64" s="828"/>
      <c r="HE64" s="827"/>
      <c r="HF64" s="827"/>
      <c r="HG64" s="829">
        <v>51.99</v>
      </c>
    </row>
    <row r="65" spans="1:215" ht="12.75" x14ac:dyDescent="0.2">
      <c r="A65" s="463" t="s">
        <v>183</v>
      </c>
      <c r="B65" s="827"/>
      <c r="C65" s="827"/>
      <c r="D65" s="827"/>
      <c r="E65" s="827"/>
      <c r="F65" s="827"/>
      <c r="G65" s="827"/>
      <c r="H65" s="827"/>
      <c r="I65" s="827"/>
      <c r="J65" s="827"/>
      <c r="K65" s="827"/>
      <c r="L65" s="827"/>
      <c r="M65" s="827"/>
      <c r="N65" s="827"/>
      <c r="O65" s="827"/>
      <c r="P65" s="827"/>
      <c r="Q65" s="827"/>
      <c r="R65" s="827"/>
      <c r="S65" s="827"/>
      <c r="T65" s="827"/>
      <c r="U65" s="827"/>
      <c r="V65" s="827"/>
      <c r="W65" s="827"/>
      <c r="X65" s="827"/>
      <c r="Y65" s="827"/>
      <c r="Z65" s="827"/>
      <c r="AA65" s="827"/>
      <c r="AB65" s="827"/>
      <c r="AC65" s="827"/>
      <c r="AD65" s="827"/>
      <c r="AE65" s="827"/>
      <c r="AF65" s="827"/>
      <c r="AG65" s="827"/>
      <c r="AH65" s="827"/>
      <c r="AI65" s="827"/>
      <c r="AJ65" s="827"/>
      <c r="AK65" s="827"/>
      <c r="AL65" s="827"/>
      <c r="AM65" s="827"/>
      <c r="AN65" s="827"/>
      <c r="AO65" s="827"/>
      <c r="AP65" s="827"/>
      <c r="AQ65" s="827"/>
      <c r="AR65" s="827"/>
      <c r="AS65" s="827"/>
      <c r="AT65" s="827"/>
      <c r="AU65" s="827"/>
      <c r="AV65" s="827"/>
      <c r="AW65" s="827"/>
      <c r="AX65" s="827"/>
      <c r="AY65" s="827"/>
      <c r="AZ65" s="827"/>
      <c r="BA65" s="827"/>
      <c r="BB65" s="827"/>
      <c r="BC65" s="827"/>
      <c r="BD65" s="827"/>
      <c r="BE65" s="827"/>
      <c r="BF65" s="827"/>
      <c r="BG65" s="827"/>
      <c r="BH65" s="827"/>
      <c r="BI65" s="827"/>
      <c r="BJ65" s="827"/>
      <c r="BK65" s="827"/>
      <c r="BL65" s="827"/>
      <c r="BM65" s="827"/>
      <c r="BN65" s="827"/>
      <c r="BO65" s="827"/>
      <c r="BP65" s="827"/>
      <c r="BQ65" s="827"/>
      <c r="BR65" s="827"/>
      <c r="BS65" s="827"/>
      <c r="BT65" s="827"/>
      <c r="BU65" s="827"/>
      <c r="BV65" s="827"/>
      <c r="BW65" s="827"/>
      <c r="BX65" s="827"/>
      <c r="BY65" s="827"/>
      <c r="BZ65" s="827"/>
      <c r="CA65" s="827"/>
      <c r="CB65" s="827"/>
      <c r="CC65" s="827"/>
      <c r="CD65" s="827"/>
      <c r="CE65" s="827"/>
      <c r="CF65" s="827"/>
      <c r="CG65" s="827"/>
      <c r="CH65" s="827"/>
      <c r="CI65" s="827"/>
      <c r="CJ65" s="827"/>
      <c r="CK65" s="827"/>
      <c r="CL65" s="827"/>
      <c r="CM65" s="827"/>
      <c r="CN65" s="827"/>
      <c r="CO65" s="827"/>
      <c r="CP65" s="827"/>
      <c r="CQ65" s="827"/>
      <c r="CR65" s="827"/>
      <c r="CS65" s="827"/>
      <c r="CT65" s="827"/>
      <c r="CU65" s="827"/>
      <c r="CV65" s="827"/>
      <c r="CW65" s="827"/>
      <c r="CX65" s="827"/>
      <c r="CY65" s="827"/>
      <c r="CZ65" s="827"/>
      <c r="DA65" s="827"/>
      <c r="DB65" s="827"/>
      <c r="DC65" s="827"/>
      <c r="DD65" s="827"/>
      <c r="DE65" s="827"/>
      <c r="DF65" s="827"/>
      <c r="DG65" s="827"/>
      <c r="DH65" s="827"/>
      <c r="DI65" s="827"/>
      <c r="DJ65" s="827"/>
      <c r="DK65" s="827"/>
      <c r="DL65" s="827"/>
      <c r="DM65" s="827"/>
      <c r="DN65" s="827"/>
      <c r="DO65" s="827"/>
      <c r="DP65" s="827"/>
      <c r="DQ65" s="827"/>
      <c r="DR65" s="827"/>
      <c r="DS65" s="827"/>
      <c r="DT65" s="827"/>
      <c r="DU65" s="827"/>
      <c r="DV65" s="827"/>
      <c r="DW65" s="827"/>
      <c r="DX65" s="827"/>
      <c r="DY65" s="827"/>
      <c r="DZ65" s="827"/>
      <c r="EA65" s="827"/>
      <c r="EB65" s="827"/>
      <c r="EC65" s="827"/>
      <c r="ED65" s="827"/>
      <c r="EE65" s="827"/>
      <c r="EF65" s="827"/>
      <c r="EG65" s="827"/>
      <c r="EH65" s="827"/>
      <c r="EI65" s="827"/>
      <c r="EJ65" s="827"/>
      <c r="EK65" s="827"/>
      <c r="EL65" s="827"/>
      <c r="EM65" s="827"/>
      <c r="EN65" s="827"/>
      <c r="EO65" s="827">
        <v>51.99</v>
      </c>
      <c r="EP65" s="827">
        <v>51.99</v>
      </c>
      <c r="EQ65" s="827"/>
      <c r="ER65" s="827"/>
      <c r="ES65" s="827">
        <v>51.99</v>
      </c>
      <c r="ET65" s="827"/>
      <c r="EU65" s="827"/>
      <c r="EV65" s="827"/>
      <c r="EW65" s="827"/>
      <c r="EX65" s="827"/>
      <c r="EY65" s="827"/>
      <c r="EZ65" s="827"/>
      <c r="FA65" s="827"/>
      <c r="FB65" s="827"/>
      <c r="FC65" s="827"/>
      <c r="FD65" s="827"/>
      <c r="FE65" s="827"/>
      <c r="FF65" s="827"/>
      <c r="FG65" s="827"/>
      <c r="FH65" s="827"/>
      <c r="FI65" s="827"/>
      <c r="FJ65" s="827"/>
      <c r="FK65" s="827"/>
      <c r="FL65" s="827"/>
      <c r="FM65" s="827"/>
      <c r="FN65" s="827"/>
      <c r="FO65" s="827"/>
      <c r="FP65" s="827"/>
      <c r="FQ65" s="827"/>
      <c r="FR65" s="827"/>
      <c r="FS65" s="827"/>
      <c r="FT65" s="827"/>
      <c r="FU65" s="827"/>
      <c r="FV65" s="827"/>
      <c r="FW65" s="827"/>
      <c r="FX65" s="827"/>
      <c r="FY65" s="827"/>
      <c r="FZ65" s="827"/>
      <c r="GA65" s="827"/>
      <c r="GB65" s="827"/>
      <c r="GC65" s="827"/>
      <c r="GD65" s="827"/>
      <c r="GE65" s="827"/>
      <c r="GF65" s="827"/>
      <c r="GG65" s="827"/>
      <c r="GH65" s="827"/>
      <c r="GI65" s="827"/>
      <c r="GJ65" s="827"/>
      <c r="GK65" s="827"/>
      <c r="GL65" s="827"/>
      <c r="GM65" s="827"/>
      <c r="GN65" s="827"/>
      <c r="GO65" s="827"/>
      <c r="GP65" s="827"/>
      <c r="GQ65" s="827"/>
      <c r="GR65" s="827"/>
      <c r="GS65" s="827"/>
      <c r="GT65" s="827"/>
      <c r="GU65" s="827"/>
      <c r="GV65" s="827"/>
      <c r="GW65" s="827"/>
      <c r="GX65" s="827"/>
      <c r="GY65" s="827"/>
      <c r="GZ65" s="827"/>
      <c r="HA65" s="827"/>
      <c r="HB65" s="827"/>
      <c r="HC65" s="827"/>
      <c r="HD65" s="828"/>
      <c r="HE65" s="827"/>
      <c r="HF65" s="827"/>
      <c r="HG65" s="829">
        <v>51.99</v>
      </c>
    </row>
    <row r="66" spans="1:215" ht="12.75" x14ac:dyDescent="0.2">
      <c r="A66" s="463" t="s">
        <v>185</v>
      </c>
      <c r="B66" s="827"/>
      <c r="C66" s="827"/>
      <c r="D66" s="827"/>
      <c r="E66" s="827"/>
      <c r="F66" s="827"/>
      <c r="G66" s="827"/>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7"/>
      <c r="AY66" s="827"/>
      <c r="AZ66" s="827"/>
      <c r="BA66" s="827"/>
      <c r="BB66" s="827"/>
      <c r="BC66" s="827"/>
      <c r="BD66" s="827"/>
      <c r="BE66" s="827"/>
      <c r="BF66" s="827"/>
      <c r="BG66" s="827"/>
      <c r="BH66" s="827"/>
      <c r="BI66" s="827"/>
      <c r="BJ66" s="827"/>
      <c r="BK66" s="827"/>
      <c r="BL66" s="827"/>
      <c r="BM66" s="827"/>
      <c r="BN66" s="827"/>
      <c r="BO66" s="827"/>
      <c r="BP66" s="827"/>
      <c r="BQ66" s="827"/>
      <c r="BR66" s="827"/>
      <c r="BS66" s="827"/>
      <c r="BT66" s="827"/>
      <c r="BU66" s="827"/>
      <c r="BV66" s="827"/>
      <c r="BW66" s="827"/>
      <c r="BX66" s="827"/>
      <c r="BY66" s="827"/>
      <c r="BZ66" s="827"/>
      <c r="CA66" s="827"/>
      <c r="CB66" s="827"/>
      <c r="CC66" s="827"/>
      <c r="CD66" s="827"/>
      <c r="CE66" s="827"/>
      <c r="CF66" s="827"/>
      <c r="CG66" s="827"/>
      <c r="CH66" s="827"/>
      <c r="CI66" s="827"/>
      <c r="CJ66" s="827"/>
      <c r="CK66" s="827"/>
      <c r="CL66" s="827"/>
      <c r="CM66" s="827"/>
      <c r="CN66" s="827"/>
      <c r="CO66" s="827"/>
      <c r="CP66" s="827"/>
      <c r="CQ66" s="827"/>
      <c r="CR66" s="827"/>
      <c r="CS66" s="827"/>
      <c r="CT66" s="827"/>
      <c r="CU66" s="827"/>
      <c r="CV66" s="827"/>
      <c r="CW66" s="827"/>
      <c r="CX66" s="827"/>
      <c r="CY66" s="827"/>
      <c r="CZ66" s="827"/>
      <c r="DA66" s="827"/>
      <c r="DB66" s="827"/>
      <c r="DC66" s="827"/>
      <c r="DD66" s="827"/>
      <c r="DE66" s="827"/>
      <c r="DF66" s="827"/>
      <c r="DG66" s="827"/>
      <c r="DH66" s="827"/>
      <c r="DI66" s="827"/>
      <c r="DJ66" s="827"/>
      <c r="DK66" s="827"/>
      <c r="DL66" s="827"/>
      <c r="DM66" s="827"/>
      <c r="DN66" s="827"/>
      <c r="DO66" s="827"/>
      <c r="DP66" s="827"/>
      <c r="DQ66" s="827"/>
      <c r="DR66" s="827"/>
      <c r="DS66" s="827"/>
      <c r="DT66" s="827"/>
      <c r="DU66" s="827"/>
      <c r="DV66" s="827"/>
      <c r="DW66" s="827"/>
      <c r="DX66" s="827"/>
      <c r="DY66" s="827"/>
      <c r="DZ66" s="827"/>
      <c r="EA66" s="827"/>
      <c r="EB66" s="827"/>
      <c r="EC66" s="827"/>
      <c r="ED66" s="827"/>
      <c r="EE66" s="827"/>
      <c r="EF66" s="827"/>
      <c r="EG66" s="827"/>
      <c r="EH66" s="827"/>
      <c r="EI66" s="827"/>
      <c r="EJ66" s="827"/>
      <c r="EK66" s="827"/>
      <c r="EL66" s="827"/>
      <c r="EM66" s="827"/>
      <c r="EN66" s="827"/>
      <c r="EO66" s="827"/>
      <c r="EP66" s="827"/>
      <c r="EQ66" s="827">
        <v>51.99</v>
      </c>
      <c r="ER66" s="827">
        <v>51.99</v>
      </c>
      <c r="ES66" s="827">
        <v>51.99</v>
      </c>
      <c r="ET66" s="827"/>
      <c r="EU66" s="827"/>
      <c r="EV66" s="827"/>
      <c r="EW66" s="827"/>
      <c r="EX66" s="827"/>
      <c r="EY66" s="827"/>
      <c r="EZ66" s="827"/>
      <c r="FA66" s="827"/>
      <c r="FB66" s="827"/>
      <c r="FC66" s="827"/>
      <c r="FD66" s="827"/>
      <c r="FE66" s="827"/>
      <c r="FF66" s="827"/>
      <c r="FG66" s="827"/>
      <c r="FH66" s="827"/>
      <c r="FI66" s="827"/>
      <c r="FJ66" s="827"/>
      <c r="FK66" s="827"/>
      <c r="FL66" s="827"/>
      <c r="FM66" s="827"/>
      <c r="FN66" s="827"/>
      <c r="FO66" s="827"/>
      <c r="FP66" s="827"/>
      <c r="FQ66" s="827"/>
      <c r="FR66" s="827"/>
      <c r="FS66" s="827"/>
      <c r="FT66" s="827"/>
      <c r="FU66" s="827"/>
      <c r="FV66" s="827"/>
      <c r="FW66" s="827"/>
      <c r="FX66" s="827"/>
      <c r="FY66" s="827"/>
      <c r="FZ66" s="827"/>
      <c r="GA66" s="827"/>
      <c r="GB66" s="827"/>
      <c r="GC66" s="827"/>
      <c r="GD66" s="827"/>
      <c r="GE66" s="827"/>
      <c r="GF66" s="827"/>
      <c r="GG66" s="827"/>
      <c r="GH66" s="827"/>
      <c r="GI66" s="827"/>
      <c r="GJ66" s="827"/>
      <c r="GK66" s="827"/>
      <c r="GL66" s="827"/>
      <c r="GM66" s="827"/>
      <c r="GN66" s="827"/>
      <c r="GO66" s="827"/>
      <c r="GP66" s="827"/>
      <c r="GQ66" s="827"/>
      <c r="GR66" s="827"/>
      <c r="GS66" s="827"/>
      <c r="GT66" s="827"/>
      <c r="GU66" s="827"/>
      <c r="GV66" s="827"/>
      <c r="GW66" s="827"/>
      <c r="GX66" s="827"/>
      <c r="GY66" s="827"/>
      <c r="GZ66" s="827"/>
      <c r="HA66" s="827"/>
      <c r="HB66" s="827"/>
      <c r="HC66" s="827"/>
      <c r="HD66" s="828"/>
      <c r="HE66" s="827"/>
      <c r="HF66" s="827"/>
      <c r="HG66" s="829">
        <v>51.99</v>
      </c>
    </row>
    <row r="67" spans="1:215" ht="12.75" x14ac:dyDescent="0.2">
      <c r="A67" s="463" t="s">
        <v>188</v>
      </c>
      <c r="B67" s="827"/>
      <c r="C67" s="827"/>
      <c r="D67" s="827"/>
      <c r="E67" s="827"/>
      <c r="F67" s="827"/>
      <c r="G67" s="827"/>
      <c r="H67" s="827"/>
      <c r="I67" s="827"/>
      <c r="J67" s="827"/>
      <c r="K67" s="827"/>
      <c r="L67" s="827"/>
      <c r="M67" s="827"/>
      <c r="N67" s="827"/>
      <c r="O67" s="827"/>
      <c r="P67" s="827"/>
      <c r="Q67" s="827"/>
      <c r="R67" s="827"/>
      <c r="S67" s="827"/>
      <c r="T67" s="827"/>
      <c r="U67" s="827"/>
      <c r="V67" s="827"/>
      <c r="W67" s="827"/>
      <c r="X67" s="827"/>
      <c r="Y67" s="827"/>
      <c r="Z67" s="827"/>
      <c r="AA67" s="827"/>
      <c r="AB67" s="827"/>
      <c r="AC67" s="827"/>
      <c r="AD67" s="827"/>
      <c r="AE67" s="827"/>
      <c r="AF67" s="827"/>
      <c r="AG67" s="827"/>
      <c r="AH67" s="827"/>
      <c r="AI67" s="827"/>
      <c r="AJ67" s="827"/>
      <c r="AK67" s="827"/>
      <c r="AL67" s="827"/>
      <c r="AM67" s="827"/>
      <c r="AN67" s="827"/>
      <c r="AO67" s="827"/>
      <c r="AP67" s="827"/>
      <c r="AQ67" s="827"/>
      <c r="AR67" s="827"/>
      <c r="AS67" s="827"/>
      <c r="AT67" s="827"/>
      <c r="AU67" s="827"/>
      <c r="AV67" s="827"/>
      <c r="AW67" s="827"/>
      <c r="AX67" s="827"/>
      <c r="AY67" s="827"/>
      <c r="AZ67" s="827"/>
      <c r="BA67" s="827"/>
      <c r="BB67" s="827"/>
      <c r="BC67" s="827"/>
      <c r="BD67" s="827"/>
      <c r="BE67" s="827"/>
      <c r="BF67" s="827"/>
      <c r="BG67" s="827"/>
      <c r="BH67" s="827"/>
      <c r="BI67" s="827"/>
      <c r="BJ67" s="827"/>
      <c r="BK67" s="827"/>
      <c r="BL67" s="827"/>
      <c r="BM67" s="827"/>
      <c r="BN67" s="827"/>
      <c r="BO67" s="827"/>
      <c r="BP67" s="827"/>
      <c r="BQ67" s="827"/>
      <c r="BR67" s="827"/>
      <c r="BS67" s="827"/>
      <c r="BT67" s="827"/>
      <c r="BU67" s="827"/>
      <c r="BV67" s="827"/>
      <c r="BW67" s="827"/>
      <c r="BX67" s="827"/>
      <c r="BY67" s="827"/>
      <c r="BZ67" s="827"/>
      <c r="CA67" s="827"/>
      <c r="CB67" s="827"/>
      <c r="CC67" s="827"/>
      <c r="CD67" s="827"/>
      <c r="CE67" s="827"/>
      <c r="CF67" s="827"/>
      <c r="CG67" s="827"/>
      <c r="CH67" s="827"/>
      <c r="CI67" s="827"/>
      <c r="CJ67" s="827"/>
      <c r="CK67" s="827"/>
      <c r="CL67" s="827"/>
      <c r="CM67" s="827"/>
      <c r="CN67" s="827"/>
      <c r="CO67" s="827"/>
      <c r="CP67" s="827"/>
      <c r="CQ67" s="827"/>
      <c r="CR67" s="827"/>
      <c r="CS67" s="827"/>
      <c r="CT67" s="827"/>
      <c r="CU67" s="827"/>
      <c r="CV67" s="827"/>
      <c r="CW67" s="827"/>
      <c r="CX67" s="827"/>
      <c r="CY67" s="827"/>
      <c r="CZ67" s="827"/>
      <c r="DA67" s="827"/>
      <c r="DB67" s="827"/>
      <c r="DC67" s="827"/>
      <c r="DD67" s="827"/>
      <c r="DE67" s="827"/>
      <c r="DF67" s="827"/>
      <c r="DG67" s="827"/>
      <c r="DH67" s="827"/>
      <c r="DI67" s="827"/>
      <c r="DJ67" s="827"/>
      <c r="DK67" s="827"/>
      <c r="DL67" s="827"/>
      <c r="DM67" s="827"/>
      <c r="DN67" s="827"/>
      <c r="DO67" s="827"/>
      <c r="DP67" s="827"/>
      <c r="DQ67" s="827"/>
      <c r="DR67" s="827"/>
      <c r="DS67" s="827"/>
      <c r="DT67" s="827"/>
      <c r="DU67" s="827"/>
      <c r="DV67" s="827"/>
      <c r="DW67" s="827"/>
      <c r="DX67" s="827"/>
      <c r="DY67" s="827"/>
      <c r="DZ67" s="827"/>
      <c r="EA67" s="827"/>
      <c r="EB67" s="827"/>
      <c r="EC67" s="827"/>
      <c r="ED67" s="827"/>
      <c r="EE67" s="827"/>
      <c r="EF67" s="827"/>
      <c r="EG67" s="827"/>
      <c r="EH67" s="827"/>
      <c r="EI67" s="827"/>
      <c r="EJ67" s="827"/>
      <c r="EK67" s="827"/>
      <c r="EL67" s="827"/>
      <c r="EM67" s="827"/>
      <c r="EN67" s="827"/>
      <c r="EO67" s="827"/>
      <c r="EP67" s="827"/>
      <c r="EQ67" s="827"/>
      <c r="ER67" s="827"/>
      <c r="ES67" s="827"/>
      <c r="ET67" s="827">
        <v>57.99</v>
      </c>
      <c r="EU67" s="827">
        <v>57.99</v>
      </c>
      <c r="EV67" s="827"/>
      <c r="EW67" s="827"/>
      <c r="EX67" s="827"/>
      <c r="EY67" s="827"/>
      <c r="EZ67" s="827">
        <v>57.99</v>
      </c>
      <c r="FA67" s="827"/>
      <c r="FB67" s="827"/>
      <c r="FC67" s="827"/>
      <c r="FD67" s="827"/>
      <c r="FE67" s="827"/>
      <c r="FF67" s="827"/>
      <c r="FG67" s="827"/>
      <c r="FH67" s="827"/>
      <c r="FI67" s="827"/>
      <c r="FJ67" s="827"/>
      <c r="FK67" s="827"/>
      <c r="FL67" s="827"/>
      <c r="FM67" s="827"/>
      <c r="FN67" s="827"/>
      <c r="FO67" s="827"/>
      <c r="FP67" s="827"/>
      <c r="FQ67" s="827"/>
      <c r="FR67" s="827"/>
      <c r="FS67" s="827"/>
      <c r="FT67" s="827"/>
      <c r="FU67" s="827"/>
      <c r="FV67" s="827"/>
      <c r="FW67" s="827"/>
      <c r="FX67" s="827"/>
      <c r="FY67" s="827"/>
      <c r="FZ67" s="827"/>
      <c r="GA67" s="827"/>
      <c r="GB67" s="827"/>
      <c r="GC67" s="827"/>
      <c r="GD67" s="827"/>
      <c r="GE67" s="827"/>
      <c r="GF67" s="827"/>
      <c r="GG67" s="827"/>
      <c r="GH67" s="827"/>
      <c r="GI67" s="827"/>
      <c r="GJ67" s="827"/>
      <c r="GK67" s="827"/>
      <c r="GL67" s="827"/>
      <c r="GM67" s="827"/>
      <c r="GN67" s="827"/>
      <c r="GO67" s="827"/>
      <c r="GP67" s="827"/>
      <c r="GQ67" s="827"/>
      <c r="GR67" s="827"/>
      <c r="GS67" s="827"/>
      <c r="GT67" s="827"/>
      <c r="GU67" s="827"/>
      <c r="GV67" s="827"/>
      <c r="GW67" s="827"/>
      <c r="GX67" s="827"/>
      <c r="GY67" s="827"/>
      <c r="GZ67" s="827"/>
      <c r="HA67" s="827"/>
      <c r="HB67" s="827"/>
      <c r="HC67" s="827"/>
      <c r="HD67" s="828"/>
      <c r="HE67" s="827"/>
      <c r="HF67" s="827"/>
      <c r="HG67" s="829">
        <v>57.99</v>
      </c>
    </row>
    <row r="68" spans="1:215" ht="12.75" x14ac:dyDescent="0.2">
      <c r="A68" s="463" t="s">
        <v>190</v>
      </c>
      <c r="B68" s="827"/>
      <c r="C68" s="827"/>
      <c r="D68" s="827"/>
      <c r="E68" s="827"/>
      <c r="F68" s="827"/>
      <c r="G68" s="827"/>
      <c r="H68" s="827"/>
      <c r="I68" s="827"/>
      <c r="J68" s="827"/>
      <c r="K68" s="827"/>
      <c r="L68" s="827"/>
      <c r="M68" s="827"/>
      <c r="N68" s="827"/>
      <c r="O68" s="827"/>
      <c r="P68" s="827"/>
      <c r="Q68" s="827"/>
      <c r="R68" s="827"/>
      <c r="S68" s="827"/>
      <c r="T68" s="827"/>
      <c r="U68" s="827"/>
      <c r="V68" s="827"/>
      <c r="W68" s="827"/>
      <c r="X68" s="827"/>
      <c r="Y68" s="827"/>
      <c r="Z68" s="827"/>
      <c r="AA68" s="827"/>
      <c r="AB68" s="827"/>
      <c r="AC68" s="827"/>
      <c r="AD68" s="827"/>
      <c r="AE68" s="827"/>
      <c r="AF68" s="827"/>
      <c r="AG68" s="827"/>
      <c r="AH68" s="827"/>
      <c r="AI68" s="827"/>
      <c r="AJ68" s="827"/>
      <c r="AK68" s="827"/>
      <c r="AL68" s="827"/>
      <c r="AM68" s="827"/>
      <c r="AN68" s="827"/>
      <c r="AO68" s="827"/>
      <c r="AP68" s="827"/>
      <c r="AQ68" s="827"/>
      <c r="AR68" s="827"/>
      <c r="AS68" s="827"/>
      <c r="AT68" s="827"/>
      <c r="AU68" s="827"/>
      <c r="AV68" s="827"/>
      <c r="AW68" s="827"/>
      <c r="AX68" s="827"/>
      <c r="AY68" s="827"/>
      <c r="AZ68" s="827"/>
      <c r="BA68" s="827"/>
      <c r="BB68" s="827"/>
      <c r="BC68" s="827"/>
      <c r="BD68" s="827"/>
      <c r="BE68" s="827"/>
      <c r="BF68" s="827"/>
      <c r="BG68" s="827"/>
      <c r="BH68" s="827"/>
      <c r="BI68" s="827"/>
      <c r="BJ68" s="827"/>
      <c r="BK68" s="827"/>
      <c r="BL68" s="827"/>
      <c r="BM68" s="827"/>
      <c r="BN68" s="827"/>
      <c r="BO68" s="827"/>
      <c r="BP68" s="827"/>
      <c r="BQ68" s="827"/>
      <c r="BR68" s="827"/>
      <c r="BS68" s="827"/>
      <c r="BT68" s="827"/>
      <c r="BU68" s="827"/>
      <c r="BV68" s="827"/>
      <c r="BW68" s="827"/>
      <c r="BX68" s="827"/>
      <c r="BY68" s="827"/>
      <c r="BZ68" s="827"/>
      <c r="CA68" s="827"/>
      <c r="CB68" s="827"/>
      <c r="CC68" s="827"/>
      <c r="CD68" s="827"/>
      <c r="CE68" s="827"/>
      <c r="CF68" s="827"/>
      <c r="CG68" s="827"/>
      <c r="CH68" s="827"/>
      <c r="CI68" s="827"/>
      <c r="CJ68" s="827"/>
      <c r="CK68" s="827"/>
      <c r="CL68" s="827"/>
      <c r="CM68" s="827"/>
      <c r="CN68" s="827"/>
      <c r="CO68" s="827"/>
      <c r="CP68" s="827"/>
      <c r="CQ68" s="827"/>
      <c r="CR68" s="827"/>
      <c r="CS68" s="827"/>
      <c r="CT68" s="827"/>
      <c r="CU68" s="827"/>
      <c r="CV68" s="827"/>
      <c r="CW68" s="827"/>
      <c r="CX68" s="827"/>
      <c r="CY68" s="827"/>
      <c r="CZ68" s="827"/>
      <c r="DA68" s="827"/>
      <c r="DB68" s="827"/>
      <c r="DC68" s="827"/>
      <c r="DD68" s="827"/>
      <c r="DE68" s="827"/>
      <c r="DF68" s="827"/>
      <c r="DG68" s="827"/>
      <c r="DH68" s="827"/>
      <c r="DI68" s="827"/>
      <c r="DJ68" s="827"/>
      <c r="DK68" s="827"/>
      <c r="DL68" s="827"/>
      <c r="DM68" s="827"/>
      <c r="DN68" s="827"/>
      <c r="DO68" s="827"/>
      <c r="DP68" s="827"/>
      <c r="DQ68" s="827"/>
      <c r="DR68" s="827"/>
      <c r="DS68" s="827"/>
      <c r="DT68" s="827"/>
      <c r="DU68" s="827"/>
      <c r="DV68" s="827"/>
      <c r="DW68" s="827"/>
      <c r="DX68" s="827"/>
      <c r="DY68" s="827"/>
      <c r="DZ68" s="827"/>
      <c r="EA68" s="827"/>
      <c r="EB68" s="827"/>
      <c r="EC68" s="827"/>
      <c r="ED68" s="827"/>
      <c r="EE68" s="827"/>
      <c r="EF68" s="827"/>
      <c r="EG68" s="827"/>
      <c r="EH68" s="827"/>
      <c r="EI68" s="827"/>
      <c r="EJ68" s="827"/>
      <c r="EK68" s="827"/>
      <c r="EL68" s="827"/>
      <c r="EM68" s="827"/>
      <c r="EN68" s="827"/>
      <c r="EO68" s="827"/>
      <c r="EP68" s="827"/>
      <c r="EQ68" s="827"/>
      <c r="ER68" s="827"/>
      <c r="ES68" s="827"/>
      <c r="ET68" s="827"/>
      <c r="EU68" s="827"/>
      <c r="EV68" s="827"/>
      <c r="EW68" s="827"/>
      <c r="EX68" s="827">
        <v>57.99</v>
      </c>
      <c r="EY68" s="827">
        <v>57.99</v>
      </c>
      <c r="EZ68" s="827">
        <v>57.99</v>
      </c>
      <c r="FA68" s="827"/>
      <c r="FB68" s="827"/>
      <c r="FC68" s="827"/>
      <c r="FD68" s="827"/>
      <c r="FE68" s="827"/>
      <c r="FF68" s="827"/>
      <c r="FG68" s="827"/>
      <c r="FH68" s="827"/>
      <c r="FI68" s="827"/>
      <c r="FJ68" s="827"/>
      <c r="FK68" s="827"/>
      <c r="FL68" s="827"/>
      <c r="FM68" s="827"/>
      <c r="FN68" s="827"/>
      <c r="FO68" s="827"/>
      <c r="FP68" s="827"/>
      <c r="FQ68" s="827"/>
      <c r="FR68" s="827"/>
      <c r="FS68" s="827"/>
      <c r="FT68" s="827"/>
      <c r="FU68" s="827"/>
      <c r="FV68" s="827"/>
      <c r="FW68" s="827"/>
      <c r="FX68" s="827"/>
      <c r="FY68" s="827"/>
      <c r="FZ68" s="827"/>
      <c r="GA68" s="827"/>
      <c r="GB68" s="827"/>
      <c r="GC68" s="827"/>
      <c r="GD68" s="827"/>
      <c r="GE68" s="827"/>
      <c r="GF68" s="827"/>
      <c r="GG68" s="827"/>
      <c r="GH68" s="827"/>
      <c r="GI68" s="827"/>
      <c r="GJ68" s="827"/>
      <c r="GK68" s="827"/>
      <c r="GL68" s="827"/>
      <c r="GM68" s="827"/>
      <c r="GN68" s="827"/>
      <c r="GO68" s="827"/>
      <c r="GP68" s="827"/>
      <c r="GQ68" s="827"/>
      <c r="GR68" s="827"/>
      <c r="GS68" s="827"/>
      <c r="GT68" s="827"/>
      <c r="GU68" s="827"/>
      <c r="GV68" s="827"/>
      <c r="GW68" s="827"/>
      <c r="GX68" s="827"/>
      <c r="GY68" s="827"/>
      <c r="GZ68" s="827"/>
      <c r="HA68" s="827"/>
      <c r="HB68" s="827"/>
      <c r="HC68" s="827"/>
      <c r="HD68" s="828"/>
      <c r="HE68" s="827"/>
      <c r="HF68" s="827"/>
      <c r="HG68" s="829">
        <v>57.99</v>
      </c>
    </row>
    <row r="69" spans="1:215" ht="12.75" x14ac:dyDescent="0.2">
      <c r="A69" s="463" t="s">
        <v>192</v>
      </c>
      <c r="B69" s="827"/>
      <c r="C69" s="827"/>
      <c r="D69" s="827"/>
      <c r="E69" s="827"/>
      <c r="F69" s="827"/>
      <c r="G69" s="827"/>
      <c r="H69" s="827"/>
      <c r="I69" s="827"/>
      <c r="J69" s="827"/>
      <c r="K69" s="827"/>
      <c r="L69" s="827"/>
      <c r="M69" s="827"/>
      <c r="N69" s="827"/>
      <c r="O69" s="827"/>
      <c r="P69" s="827"/>
      <c r="Q69" s="827"/>
      <c r="R69" s="827"/>
      <c r="S69" s="827"/>
      <c r="T69" s="827"/>
      <c r="U69" s="827"/>
      <c r="V69" s="827"/>
      <c r="W69" s="827"/>
      <c r="X69" s="827"/>
      <c r="Y69" s="827"/>
      <c r="Z69" s="827"/>
      <c r="AA69" s="827"/>
      <c r="AB69" s="827"/>
      <c r="AC69" s="827"/>
      <c r="AD69" s="827"/>
      <c r="AE69" s="827"/>
      <c r="AF69" s="827"/>
      <c r="AG69" s="827"/>
      <c r="AH69" s="827"/>
      <c r="AI69" s="827"/>
      <c r="AJ69" s="827"/>
      <c r="AK69" s="827"/>
      <c r="AL69" s="827"/>
      <c r="AM69" s="827"/>
      <c r="AN69" s="827"/>
      <c r="AO69" s="827"/>
      <c r="AP69" s="827"/>
      <c r="AQ69" s="827"/>
      <c r="AR69" s="827"/>
      <c r="AS69" s="827"/>
      <c r="AT69" s="827"/>
      <c r="AU69" s="827"/>
      <c r="AV69" s="827"/>
      <c r="AW69" s="827"/>
      <c r="AX69" s="827"/>
      <c r="AY69" s="827"/>
      <c r="AZ69" s="827"/>
      <c r="BA69" s="827"/>
      <c r="BB69" s="827"/>
      <c r="BC69" s="827"/>
      <c r="BD69" s="827"/>
      <c r="BE69" s="827"/>
      <c r="BF69" s="827"/>
      <c r="BG69" s="827"/>
      <c r="BH69" s="827"/>
      <c r="BI69" s="827"/>
      <c r="BJ69" s="827"/>
      <c r="BK69" s="827"/>
      <c r="BL69" s="827"/>
      <c r="BM69" s="827"/>
      <c r="BN69" s="827"/>
      <c r="BO69" s="827"/>
      <c r="BP69" s="827"/>
      <c r="BQ69" s="827"/>
      <c r="BR69" s="827"/>
      <c r="BS69" s="827"/>
      <c r="BT69" s="827"/>
      <c r="BU69" s="827"/>
      <c r="BV69" s="827"/>
      <c r="BW69" s="827"/>
      <c r="BX69" s="827"/>
      <c r="BY69" s="827"/>
      <c r="BZ69" s="827"/>
      <c r="CA69" s="827"/>
      <c r="CB69" s="827"/>
      <c r="CC69" s="827"/>
      <c r="CD69" s="827"/>
      <c r="CE69" s="827"/>
      <c r="CF69" s="827"/>
      <c r="CG69" s="827"/>
      <c r="CH69" s="827"/>
      <c r="CI69" s="827"/>
      <c r="CJ69" s="827"/>
      <c r="CK69" s="827"/>
      <c r="CL69" s="827"/>
      <c r="CM69" s="827"/>
      <c r="CN69" s="827"/>
      <c r="CO69" s="827"/>
      <c r="CP69" s="827"/>
      <c r="CQ69" s="827"/>
      <c r="CR69" s="827"/>
      <c r="CS69" s="827"/>
      <c r="CT69" s="827"/>
      <c r="CU69" s="827"/>
      <c r="CV69" s="827"/>
      <c r="CW69" s="827"/>
      <c r="CX69" s="827"/>
      <c r="CY69" s="827"/>
      <c r="CZ69" s="827"/>
      <c r="DA69" s="827"/>
      <c r="DB69" s="827"/>
      <c r="DC69" s="827"/>
      <c r="DD69" s="827"/>
      <c r="DE69" s="827"/>
      <c r="DF69" s="827"/>
      <c r="DG69" s="827"/>
      <c r="DH69" s="827"/>
      <c r="DI69" s="827"/>
      <c r="DJ69" s="827"/>
      <c r="DK69" s="827"/>
      <c r="DL69" s="827"/>
      <c r="DM69" s="827"/>
      <c r="DN69" s="827"/>
      <c r="DO69" s="827"/>
      <c r="DP69" s="827"/>
      <c r="DQ69" s="827"/>
      <c r="DR69" s="827"/>
      <c r="DS69" s="827"/>
      <c r="DT69" s="827"/>
      <c r="DU69" s="827"/>
      <c r="DV69" s="827"/>
      <c r="DW69" s="827"/>
      <c r="DX69" s="827"/>
      <c r="DY69" s="827"/>
      <c r="DZ69" s="827"/>
      <c r="EA69" s="827"/>
      <c r="EB69" s="827"/>
      <c r="EC69" s="827"/>
      <c r="ED69" s="827"/>
      <c r="EE69" s="827"/>
      <c r="EF69" s="827"/>
      <c r="EG69" s="827"/>
      <c r="EH69" s="827">
        <v>46</v>
      </c>
      <c r="EI69" s="827">
        <v>46</v>
      </c>
      <c r="EJ69" s="827"/>
      <c r="EK69" s="827"/>
      <c r="EL69" s="827">
        <v>46</v>
      </c>
      <c r="EM69" s="827"/>
      <c r="EN69" s="827"/>
      <c r="EO69" s="827"/>
      <c r="EP69" s="827"/>
      <c r="EQ69" s="827"/>
      <c r="ER69" s="827"/>
      <c r="ES69" s="827"/>
      <c r="ET69" s="827"/>
      <c r="EU69" s="827"/>
      <c r="EV69" s="827"/>
      <c r="EW69" s="827"/>
      <c r="EX69" s="827"/>
      <c r="EY69" s="827"/>
      <c r="EZ69" s="827"/>
      <c r="FA69" s="827"/>
      <c r="FB69" s="827"/>
      <c r="FC69" s="827"/>
      <c r="FD69" s="827"/>
      <c r="FE69" s="827"/>
      <c r="FF69" s="827"/>
      <c r="FG69" s="827"/>
      <c r="FH69" s="827"/>
      <c r="FI69" s="827"/>
      <c r="FJ69" s="827"/>
      <c r="FK69" s="827"/>
      <c r="FL69" s="827"/>
      <c r="FM69" s="827"/>
      <c r="FN69" s="827"/>
      <c r="FO69" s="827"/>
      <c r="FP69" s="827"/>
      <c r="FQ69" s="827"/>
      <c r="FR69" s="827"/>
      <c r="FS69" s="827"/>
      <c r="FT69" s="827"/>
      <c r="FU69" s="827"/>
      <c r="FV69" s="827"/>
      <c r="FW69" s="827"/>
      <c r="FX69" s="827"/>
      <c r="FY69" s="827"/>
      <c r="FZ69" s="827"/>
      <c r="GA69" s="827"/>
      <c r="GB69" s="827"/>
      <c r="GC69" s="827"/>
      <c r="GD69" s="827"/>
      <c r="GE69" s="827"/>
      <c r="GF69" s="827"/>
      <c r="GG69" s="827"/>
      <c r="GH69" s="827"/>
      <c r="GI69" s="827"/>
      <c r="GJ69" s="827"/>
      <c r="GK69" s="827"/>
      <c r="GL69" s="827"/>
      <c r="GM69" s="827"/>
      <c r="GN69" s="827"/>
      <c r="GO69" s="827"/>
      <c r="GP69" s="827"/>
      <c r="GQ69" s="827"/>
      <c r="GR69" s="827"/>
      <c r="GS69" s="827"/>
      <c r="GT69" s="827"/>
      <c r="GU69" s="827"/>
      <c r="GV69" s="827"/>
      <c r="GW69" s="827"/>
      <c r="GX69" s="827"/>
      <c r="GY69" s="827"/>
      <c r="GZ69" s="827"/>
      <c r="HA69" s="827"/>
      <c r="HB69" s="827"/>
      <c r="HC69" s="827"/>
      <c r="HD69" s="828"/>
      <c r="HE69" s="827"/>
      <c r="HF69" s="827"/>
      <c r="HG69" s="829">
        <v>46</v>
      </c>
    </row>
    <row r="70" spans="1:215" ht="12.75" x14ac:dyDescent="0.2">
      <c r="A70" s="463" t="s">
        <v>194</v>
      </c>
      <c r="B70" s="827"/>
      <c r="C70" s="827"/>
      <c r="D70" s="827"/>
      <c r="E70" s="827"/>
      <c r="F70" s="827"/>
      <c r="G70" s="827"/>
      <c r="H70" s="827"/>
      <c r="I70" s="827"/>
      <c r="J70" s="827"/>
      <c r="K70" s="827"/>
      <c r="L70" s="827"/>
      <c r="M70" s="827"/>
      <c r="N70" s="827"/>
      <c r="O70" s="827"/>
      <c r="P70" s="827"/>
      <c r="Q70" s="827"/>
      <c r="R70" s="827"/>
      <c r="S70" s="827"/>
      <c r="T70" s="827"/>
      <c r="U70" s="827"/>
      <c r="V70" s="827"/>
      <c r="W70" s="827"/>
      <c r="X70" s="827"/>
      <c r="Y70" s="827"/>
      <c r="Z70" s="827"/>
      <c r="AA70" s="827"/>
      <c r="AB70" s="827"/>
      <c r="AC70" s="827"/>
      <c r="AD70" s="827"/>
      <c r="AE70" s="827"/>
      <c r="AF70" s="827"/>
      <c r="AG70" s="827"/>
      <c r="AH70" s="827"/>
      <c r="AI70" s="827"/>
      <c r="AJ70" s="827"/>
      <c r="AK70" s="827"/>
      <c r="AL70" s="827"/>
      <c r="AM70" s="827"/>
      <c r="AN70" s="827"/>
      <c r="AO70" s="827"/>
      <c r="AP70" s="827"/>
      <c r="AQ70" s="827"/>
      <c r="AR70" s="827"/>
      <c r="AS70" s="827"/>
      <c r="AT70" s="827"/>
      <c r="AU70" s="827"/>
      <c r="AV70" s="827"/>
      <c r="AW70" s="827"/>
      <c r="AX70" s="827"/>
      <c r="AY70" s="827"/>
      <c r="AZ70" s="827"/>
      <c r="BA70" s="827"/>
      <c r="BB70" s="827"/>
      <c r="BC70" s="827"/>
      <c r="BD70" s="827"/>
      <c r="BE70" s="827"/>
      <c r="BF70" s="827"/>
      <c r="BG70" s="827"/>
      <c r="BH70" s="827"/>
      <c r="BI70" s="827"/>
      <c r="BJ70" s="827"/>
      <c r="BK70" s="827"/>
      <c r="BL70" s="827"/>
      <c r="BM70" s="827"/>
      <c r="BN70" s="827"/>
      <c r="BO70" s="827"/>
      <c r="BP70" s="827"/>
      <c r="BQ70" s="827"/>
      <c r="BR70" s="827"/>
      <c r="BS70" s="827"/>
      <c r="BT70" s="827"/>
      <c r="BU70" s="827"/>
      <c r="BV70" s="827"/>
      <c r="BW70" s="827"/>
      <c r="BX70" s="827"/>
      <c r="BY70" s="827"/>
      <c r="BZ70" s="827"/>
      <c r="CA70" s="827"/>
      <c r="CB70" s="827"/>
      <c r="CC70" s="827"/>
      <c r="CD70" s="827"/>
      <c r="CE70" s="827"/>
      <c r="CF70" s="827"/>
      <c r="CG70" s="827"/>
      <c r="CH70" s="827"/>
      <c r="CI70" s="827"/>
      <c r="CJ70" s="827"/>
      <c r="CK70" s="827"/>
      <c r="CL70" s="827"/>
      <c r="CM70" s="827"/>
      <c r="CN70" s="827"/>
      <c r="CO70" s="827"/>
      <c r="CP70" s="827"/>
      <c r="CQ70" s="827"/>
      <c r="CR70" s="827"/>
      <c r="CS70" s="827"/>
      <c r="CT70" s="827"/>
      <c r="CU70" s="827"/>
      <c r="CV70" s="827"/>
      <c r="CW70" s="827"/>
      <c r="CX70" s="827"/>
      <c r="CY70" s="827"/>
      <c r="CZ70" s="827"/>
      <c r="DA70" s="827"/>
      <c r="DB70" s="827"/>
      <c r="DC70" s="827"/>
      <c r="DD70" s="827"/>
      <c r="DE70" s="827"/>
      <c r="DF70" s="827"/>
      <c r="DG70" s="827"/>
      <c r="DH70" s="827"/>
      <c r="DI70" s="827"/>
      <c r="DJ70" s="827"/>
      <c r="DK70" s="827"/>
      <c r="DL70" s="827"/>
      <c r="DM70" s="827"/>
      <c r="DN70" s="827"/>
      <c r="DO70" s="827"/>
      <c r="DP70" s="827"/>
      <c r="DQ70" s="827"/>
      <c r="DR70" s="827"/>
      <c r="DS70" s="827"/>
      <c r="DT70" s="827"/>
      <c r="DU70" s="827"/>
      <c r="DV70" s="827"/>
      <c r="DW70" s="827"/>
      <c r="DX70" s="827"/>
      <c r="DY70" s="827"/>
      <c r="DZ70" s="827"/>
      <c r="EA70" s="827"/>
      <c r="EB70" s="827"/>
      <c r="EC70" s="827"/>
      <c r="ED70" s="827"/>
      <c r="EE70" s="827"/>
      <c r="EF70" s="827"/>
      <c r="EG70" s="827"/>
      <c r="EH70" s="827"/>
      <c r="EI70" s="827"/>
      <c r="EJ70" s="827">
        <v>46</v>
      </c>
      <c r="EK70" s="827">
        <v>46</v>
      </c>
      <c r="EL70" s="827">
        <v>46</v>
      </c>
      <c r="EM70" s="827"/>
      <c r="EN70" s="827"/>
      <c r="EO70" s="827"/>
      <c r="EP70" s="827"/>
      <c r="EQ70" s="827"/>
      <c r="ER70" s="827"/>
      <c r="ES70" s="827"/>
      <c r="ET70" s="827"/>
      <c r="EU70" s="827"/>
      <c r="EV70" s="827"/>
      <c r="EW70" s="827"/>
      <c r="EX70" s="827"/>
      <c r="EY70" s="827"/>
      <c r="EZ70" s="827"/>
      <c r="FA70" s="827"/>
      <c r="FB70" s="827"/>
      <c r="FC70" s="827"/>
      <c r="FD70" s="827"/>
      <c r="FE70" s="827"/>
      <c r="FF70" s="827"/>
      <c r="FG70" s="827"/>
      <c r="FH70" s="827"/>
      <c r="FI70" s="827"/>
      <c r="FJ70" s="827"/>
      <c r="FK70" s="827"/>
      <c r="FL70" s="827"/>
      <c r="FM70" s="827"/>
      <c r="FN70" s="827"/>
      <c r="FO70" s="827"/>
      <c r="FP70" s="827"/>
      <c r="FQ70" s="827"/>
      <c r="FR70" s="827"/>
      <c r="FS70" s="827"/>
      <c r="FT70" s="827"/>
      <c r="FU70" s="827"/>
      <c r="FV70" s="827"/>
      <c r="FW70" s="827"/>
      <c r="FX70" s="827"/>
      <c r="FY70" s="827"/>
      <c r="FZ70" s="827"/>
      <c r="GA70" s="827"/>
      <c r="GB70" s="827"/>
      <c r="GC70" s="827"/>
      <c r="GD70" s="827"/>
      <c r="GE70" s="827"/>
      <c r="GF70" s="827"/>
      <c r="GG70" s="827"/>
      <c r="GH70" s="827"/>
      <c r="GI70" s="827"/>
      <c r="GJ70" s="827"/>
      <c r="GK70" s="827"/>
      <c r="GL70" s="827"/>
      <c r="GM70" s="827"/>
      <c r="GN70" s="827"/>
      <c r="GO70" s="827"/>
      <c r="GP70" s="827"/>
      <c r="GQ70" s="827"/>
      <c r="GR70" s="827"/>
      <c r="GS70" s="827"/>
      <c r="GT70" s="827"/>
      <c r="GU70" s="827"/>
      <c r="GV70" s="827"/>
      <c r="GW70" s="827"/>
      <c r="GX70" s="827"/>
      <c r="GY70" s="827"/>
      <c r="GZ70" s="827"/>
      <c r="HA70" s="827"/>
      <c r="HB70" s="827"/>
      <c r="HC70" s="827"/>
      <c r="HD70" s="828"/>
      <c r="HE70" s="827"/>
      <c r="HF70" s="827"/>
      <c r="HG70" s="829">
        <v>46</v>
      </c>
    </row>
    <row r="71" spans="1:215" ht="12.75" x14ac:dyDescent="0.2">
      <c r="A71" s="463" t="s">
        <v>196</v>
      </c>
      <c r="B71" s="827"/>
      <c r="C71" s="827"/>
      <c r="D71" s="827"/>
      <c r="E71" s="827"/>
      <c r="F71" s="827"/>
      <c r="G71" s="827"/>
      <c r="H71" s="827"/>
      <c r="I71" s="827"/>
      <c r="J71" s="827"/>
      <c r="K71" s="827"/>
      <c r="L71" s="827"/>
      <c r="M71" s="827"/>
      <c r="N71" s="827"/>
      <c r="O71" s="827"/>
      <c r="P71" s="827"/>
      <c r="Q71" s="827"/>
      <c r="R71" s="827"/>
      <c r="S71" s="827"/>
      <c r="T71" s="827"/>
      <c r="U71" s="827"/>
      <c r="V71" s="827"/>
      <c r="W71" s="827"/>
      <c r="X71" s="827"/>
      <c r="Y71" s="827"/>
      <c r="Z71" s="827"/>
      <c r="AA71" s="827"/>
      <c r="AB71" s="827"/>
      <c r="AC71" s="827"/>
      <c r="AD71" s="827"/>
      <c r="AE71" s="827"/>
      <c r="AF71" s="827"/>
      <c r="AG71" s="827"/>
      <c r="AH71" s="827"/>
      <c r="AI71" s="827"/>
      <c r="AJ71" s="827"/>
      <c r="AK71" s="827"/>
      <c r="AL71" s="827"/>
      <c r="AM71" s="827"/>
      <c r="AN71" s="827"/>
      <c r="AO71" s="827"/>
      <c r="AP71" s="827"/>
      <c r="AQ71" s="827"/>
      <c r="AR71" s="827"/>
      <c r="AS71" s="827"/>
      <c r="AT71" s="827"/>
      <c r="AU71" s="827"/>
      <c r="AV71" s="827"/>
      <c r="AW71" s="827"/>
      <c r="AX71" s="827"/>
      <c r="AY71" s="827"/>
      <c r="AZ71" s="827"/>
      <c r="BA71" s="827"/>
      <c r="BB71" s="827"/>
      <c r="BC71" s="827"/>
      <c r="BD71" s="827"/>
      <c r="BE71" s="827"/>
      <c r="BF71" s="827"/>
      <c r="BG71" s="827"/>
      <c r="BH71" s="827"/>
      <c r="BI71" s="827"/>
      <c r="BJ71" s="827"/>
      <c r="BK71" s="827"/>
      <c r="BL71" s="827"/>
      <c r="BM71" s="827"/>
      <c r="BN71" s="827"/>
      <c r="BO71" s="827"/>
      <c r="BP71" s="827"/>
      <c r="BQ71" s="827"/>
      <c r="BR71" s="827"/>
      <c r="BS71" s="827"/>
      <c r="BT71" s="827"/>
      <c r="BU71" s="827"/>
      <c r="BV71" s="827"/>
      <c r="BW71" s="827"/>
      <c r="BX71" s="827"/>
      <c r="BY71" s="827"/>
      <c r="BZ71" s="827"/>
      <c r="CA71" s="827"/>
      <c r="CB71" s="827"/>
      <c r="CC71" s="827"/>
      <c r="CD71" s="827"/>
      <c r="CE71" s="827"/>
      <c r="CF71" s="827"/>
      <c r="CG71" s="827"/>
      <c r="CH71" s="827"/>
      <c r="CI71" s="827"/>
      <c r="CJ71" s="827"/>
      <c r="CK71" s="827"/>
      <c r="CL71" s="827"/>
      <c r="CM71" s="827"/>
      <c r="CN71" s="827"/>
      <c r="CO71" s="827"/>
      <c r="CP71" s="827"/>
      <c r="CQ71" s="827"/>
      <c r="CR71" s="827"/>
      <c r="CS71" s="827"/>
      <c r="CT71" s="827"/>
      <c r="CU71" s="827"/>
      <c r="CV71" s="827"/>
      <c r="CW71" s="827"/>
      <c r="CX71" s="827"/>
      <c r="CY71" s="827"/>
      <c r="CZ71" s="827"/>
      <c r="DA71" s="827"/>
      <c r="DB71" s="827"/>
      <c r="DC71" s="827"/>
      <c r="DD71" s="827"/>
      <c r="DE71" s="827"/>
      <c r="DF71" s="827"/>
      <c r="DG71" s="827"/>
      <c r="DH71" s="827"/>
      <c r="DI71" s="827"/>
      <c r="DJ71" s="827"/>
      <c r="DK71" s="827"/>
      <c r="DL71" s="827"/>
      <c r="DM71" s="827"/>
      <c r="DN71" s="827"/>
      <c r="DO71" s="827"/>
      <c r="DP71" s="827"/>
      <c r="DQ71" s="827"/>
      <c r="DR71" s="827"/>
      <c r="DS71" s="827"/>
      <c r="DT71" s="827"/>
      <c r="DU71" s="827"/>
      <c r="DV71" s="827"/>
      <c r="DW71" s="827"/>
      <c r="DX71" s="827"/>
      <c r="DY71" s="827"/>
      <c r="DZ71" s="827"/>
      <c r="EA71" s="827"/>
      <c r="EB71" s="827"/>
      <c r="EC71" s="827">
        <v>41.5</v>
      </c>
      <c r="ED71" s="827">
        <v>41.5</v>
      </c>
      <c r="EE71" s="827"/>
      <c r="EF71" s="827"/>
      <c r="EG71" s="827">
        <v>41.5</v>
      </c>
      <c r="EH71" s="827"/>
      <c r="EI71" s="827"/>
      <c r="EJ71" s="827"/>
      <c r="EK71" s="827"/>
      <c r="EL71" s="827"/>
      <c r="EM71" s="827"/>
      <c r="EN71" s="827"/>
      <c r="EO71" s="827"/>
      <c r="EP71" s="827"/>
      <c r="EQ71" s="827"/>
      <c r="ER71" s="827"/>
      <c r="ES71" s="827"/>
      <c r="ET71" s="827"/>
      <c r="EU71" s="827"/>
      <c r="EV71" s="827"/>
      <c r="EW71" s="827"/>
      <c r="EX71" s="827"/>
      <c r="EY71" s="827"/>
      <c r="EZ71" s="827"/>
      <c r="FA71" s="827"/>
      <c r="FB71" s="827"/>
      <c r="FC71" s="827"/>
      <c r="FD71" s="827"/>
      <c r="FE71" s="827"/>
      <c r="FF71" s="827"/>
      <c r="FG71" s="827"/>
      <c r="FH71" s="827"/>
      <c r="FI71" s="827"/>
      <c r="FJ71" s="827"/>
      <c r="FK71" s="827"/>
      <c r="FL71" s="827"/>
      <c r="FM71" s="827"/>
      <c r="FN71" s="827"/>
      <c r="FO71" s="827"/>
      <c r="FP71" s="827"/>
      <c r="FQ71" s="827"/>
      <c r="FR71" s="827"/>
      <c r="FS71" s="827"/>
      <c r="FT71" s="827"/>
      <c r="FU71" s="827"/>
      <c r="FV71" s="827"/>
      <c r="FW71" s="827"/>
      <c r="FX71" s="827"/>
      <c r="FY71" s="827"/>
      <c r="FZ71" s="827"/>
      <c r="GA71" s="827"/>
      <c r="GB71" s="827"/>
      <c r="GC71" s="827"/>
      <c r="GD71" s="827"/>
      <c r="GE71" s="827"/>
      <c r="GF71" s="827"/>
      <c r="GG71" s="827"/>
      <c r="GH71" s="827"/>
      <c r="GI71" s="827"/>
      <c r="GJ71" s="827"/>
      <c r="GK71" s="827"/>
      <c r="GL71" s="827"/>
      <c r="GM71" s="827"/>
      <c r="GN71" s="827"/>
      <c r="GO71" s="827"/>
      <c r="GP71" s="827"/>
      <c r="GQ71" s="827"/>
      <c r="GR71" s="827"/>
      <c r="GS71" s="827"/>
      <c r="GT71" s="827"/>
      <c r="GU71" s="827"/>
      <c r="GV71" s="827"/>
      <c r="GW71" s="827"/>
      <c r="GX71" s="827"/>
      <c r="GY71" s="827"/>
      <c r="GZ71" s="827"/>
      <c r="HA71" s="827"/>
      <c r="HB71" s="827"/>
      <c r="HC71" s="827"/>
      <c r="HD71" s="828"/>
      <c r="HE71" s="827"/>
      <c r="HF71" s="827"/>
      <c r="HG71" s="829">
        <v>41.5</v>
      </c>
    </row>
    <row r="72" spans="1:215" ht="12.75" x14ac:dyDescent="0.2">
      <c r="A72" s="463" t="s">
        <v>198</v>
      </c>
      <c r="B72" s="827"/>
      <c r="C72" s="827"/>
      <c r="D72" s="827"/>
      <c r="E72" s="827"/>
      <c r="F72" s="827"/>
      <c r="G72" s="827"/>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7"/>
      <c r="AY72" s="827"/>
      <c r="AZ72" s="827"/>
      <c r="BA72" s="827"/>
      <c r="BB72" s="827"/>
      <c r="BC72" s="827"/>
      <c r="BD72" s="827"/>
      <c r="BE72" s="827"/>
      <c r="BF72" s="827"/>
      <c r="BG72" s="827"/>
      <c r="BH72" s="827"/>
      <c r="BI72" s="827"/>
      <c r="BJ72" s="827"/>
      <c r="BK72" s="827"/>
      <c r="BL72" s="827"/>
      <c r="BM72" s="827"/>
      <c r="BN72" s="827"/>
      <c r="BO72" s="827"/>
      <c r="BP72" s="827"/>
      <c r="BQ72" s="827"/>
      <c r="BR72" s="827"/>
      <c r="BS72" s="827"/>
      <c r="BT72" s="827"/>
      <c r="BU72" s="827"/>
      <c r="BV72" s="827"/>
      <c r="BW72" s="827"/>
      <c r="BX72" s="827"/>
      <c r="BY72" s="827"/>
      <c r="BZ72" s="827"/>
      <c r="CA72" s="827"/>
      <c r="CB72" s="827"/>
      <c r="CC72" s="827"/>
      <c r="CD72" s="827"/>
      <c r="CE72" s="827"/>
      <c r="CF72" s="827"/>
      <c r="CG72" s="827"/>
      <c r="CH72" s="827"/>
      <c r="CI72" s="827"/>
      <c r="CJ72" s="827"/>
      <c r="CK72" s="827"/>
      <c r="CL72" s="827"/>
      <c r="CM72" s="827"/>
      <c r="CN72" s="827"/>
      <c r="CO72" s="827"/>
      <c r="CP72" s="827"/>
      <c r="CQ72" s="827"/>
      <c r="CR72" s="827"/>
      <c r="CS72" s="827"/>
      <c r="CT72" s="827"/>
      <c r="CU72" s="827"/>
      <c r="CV72" s="827"/>
      <c r="CW72" s="827"/>
      <c r="CX72" s="827"/>
      <c r="CY72" s="827"/>
      <c r="CZ72" s="827"/>
      <c r="DA72" s="827"/>
      <c r="DB72" s="827"/>
      <c r="DC72" s="827"/>
      <c r="DD72" s="827"/>
      <c r="DE72" s="827"/>
      <c r="DF72" s="827"/>
      <c r="DG72" s="827"/>
      <c r="DH72" s="827"/>
      <c r="DI72" s="827"/>
      <c r="DJ72" s="827"/>
      <c r="DK72" s="827"/>
      <c r="DL72" s="827"/>
      <c r="DM72" s="827"/>
      <c r="DN72" s="827"/>
      <c r="DO72" s="827"/>
      <c r="DP72" s="827"/>
      <c r="DQ72" s="827"/>
      <c r="DR72" s="827"/>
      <c r="DS72" s="827"/>
      <c r="DT72" s="827"/>
      <c r="DU72" s="827"/>
      <c r="DV72" s="827"/>
      <c r="DW72" s="827"/>
      <c r="DX72" s="827"/>
      <c r="DY72" s="827"/>
      <c r="DZ72" s="827"/>
      <c r="EA72" s="827"/>
      <c r="EB72" s="827"/>
      <c r="EC72" s="827"/>
      <c r="ED72" s="827"/>
      <c r="EE72" s="827">
        <v>41.5</v>
      </c>
      <c r="EF72" s="827">
        <v>41.5</v>
      </c>
      <c r="EG72" s="827">
        <v>41.5</v>
      </c>
      <c r="EH72" s="827"/>
      <c r="EI72" s="827"/>
      <c r="EJ72" s="827"/>
      <c r="EK72" s="827"/>
      <c r="EL72" s="827"/>
      <c r="EM72" s="827"/>
      <c r="EN72" s="827"/>
      <c r="EO72" s="827"/>
      <c r="EP72" s="827"/>
      <c r="EQ72" s="827"/>
      <c r="ER72" s="827"/>
      <c r="ES72" s="827"/>
      <c r="ET72" s="827"/>
      <c r="EU72" s="827"/>
      <c r="EV72" s="827"/>
      <c r="EW72" s="827"/>
      <c r="EX72" s="827"/>
      <c r="EY72" s="827"/>
      <c r="EZ72" s="827"/>
      <c r="FA72" s="827"/>
      <c r="FB72" s="827"/>
      <c r="FC72" s="827"/>
      <c r="FD72" s="827"/>
      <c r="FE72" s="827"/>
      <c r="FF72" s="827"/>
      <c r="FG72" s="827"/>
      <c r="FH72" s="827"/>
      <c r="FI72" s="827"/>
      <c r="FJ72" s="827"/>
      <c r="FK72" s="827"/>
      <c r="FL72" s="827"/>
      <c r="FM72" s="827"/>
      <c r="FN72" s="827"/>
      <c r="FO72" s="827"/>
      <c r="FP72" s="827"/>
      <c r="FQ72" s="827"/>
      <c r="FR72" s="827"/>
      <c r="FS72" s="827"/>
      <c r="FT72" s="827"/>
      <c r="FU72" s="827"/>
      <c r="FV72" s="827"/>
      <c r="FW72" s="827"/>
      <c r="FX72" s="827"/>
      <c r="FY72" s="827"/>
      <c r="FZ72" s="827"/>
      <c r="GA72" s="827"/>
      <c r="GB72" s="827"/>
      <c r="GC72" s="827"/>
      <c r="GD72" s="827"/>
      <c r="GE72" s="827"/>
      <c r="GF72" s="827"/>
      <c r="GG72" s="827"/>
      <c r="GH72" s="827"/>
      <c r="GI72" s="827"/>
      <c r="GJ72" s="827"/>
      <c r="GK72" s="827"/>
      <c r="GL72" s="827"/>
      <c r="GM72" s="827"/>
      <c r="GN72" s="827"/>
      <c r="GO72" s="827"/>
      <c r="GP72" s="827"/>
      <c r="GQ72" s="827"/>
      <c r="GR72" s="827"/>
      <c r="GS72" s="827"/>
      <c r="GT72" s="827"/>
      <c r="GU72" s="827"/>
      <c r="GV72" s="827"/>
      <c r="GW72" s="827"/>
      <c r="GX72" s="827"/>
      <c r="GY72" s="827"/>
      <c r="GZ72" s="827"/>
      <c r="HA72" s="827"/>
      <c r="HB72" s="827"/>
      <c r="HC72" s="827"/>
      <c r="HD72" s="828"/>
      <c r="HE72" s="827"/>
      <c r="HF72" s="827"/>
      <c r="HG72" s="829">
        <v>41.5</v>
      </c>
    </row>
    <row r="73" spans="1:215" ht="12.75" x14ac:dyDescent="0.2">
      <c r="A73" s="463" t="s">
        <v>200</v>
      </c>
      <c r="B73" s="827"/>
      <c r="C73" s="827"/>
      <c r="D73" s="827"/>
      <c r="E73" s="827"/>
      <c r="F73" s="827"/>
      <c r="G73" s="827"/>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7"/>
      <c r="AY73" s="827"/>
      <c r="AZ73" s="827"/>
      <c r="BA73" s="827"/>
      <c r="BB73" s="827"/>
      <c r="BC73" s="827"/>
      <c r="BD73" s="827"/>
      <c r="BE73" s="827"/>
      <c r="BF73" s="827"/>
      <c r="BG73" s="827"/>
      <c r="BH73" s="827"/>
      <c r="BI73" s="827"/>
      <c r="BJ73" s="827"/>
      <c r="BK73" s="827"/>
      <c r="BL73" s="827"/>
      <c r="BM73" s="827"/>
      <c r="BN73" s="827"/>
      <c r="BO73" s="827"/>
      <c r="BP73" s="827"/>
      <c r="BQ73" s="827"/>
      <c r="BR73" s="827"/>
      <c r="BS73" s="827"/>
      <c r="BT73" s="827"/>
      <c r="BU73" s="827"/>
      <c r="BV73" s="827"/>
      <c r="BW73" s="827"/>
      <c r="BX73" s="827"/>
      <c r="BY73" s="827"/>
      <c r="BZ73" s="827"/>
      <c r="CA73" s="827"/>
      <c r="CB73" s="827"/>
      <c r="CC73" s="827"/>
      <c r="CD73" s="827"/>
      <c r="CE73" s="827"/>
      <c r="CF73" s="827"/>
      <c r="CG73" s="827"/>
      <c r="CH73" s="827"/>
      <c r="CI73" s="827"/>
      <c r="CJ73" s="827"/>
      <c r="CK73" s="827"/>
      <c r="CL73" s="827"/>
      <c r="CM73" s="827"/>
      <c r="CN73" s="827"/>
      <c r="CO73" s="827"/>
      <c r="CP73" s="827"/>
      <c r="CQ73" s="827"/>
      <c r="CR73" s="827"/>
      <c r="CS73" s="827"/>
      <c r="CT73" s="827"/>
      <c r="CU73" s="827"/>
      <c r="CV73" s="827"/>
      <c r="CW73" s="827"/>
      <c r="CX73" s="827"/>
      <c r="CY73" s="827"/>
      <c r="CZ73" s="827"/>
      <c r="DA73" s="827"/>
      <c r="DB73" s="827"/>
      <c r="DC73" s="827"/>
      <c r="DD73" s="827"/>
      <c r="DE73" s="827"/>
      <c r="DF73" s="827"/>
      <c r="DG73" s="827"/>
      <c r="DH73" s="827"/>
      <c r="DI73" s="827"/>
      <c r="DJ73" s="827"/>
      <c r="DK73" s="827"/>
      <c r="DL73" s="827"/>
      <c r="DM73" s="827"/>
      <c r="DN73" s="827"/>
      <c r="DO73" s="827"/>
      <c r="DP73" s="827"/>
      <c r="DQ73" s="827"/>
      <c r="DR73" s="827"/>
      <c r="DS73" s="827"/>
      <c r="DT73" s="827"/>
      <c r="DU73" s="827"/>
      <c r="DV73" s="827"/>
      <c r="DW73" s="827"/>
      <c r="DX73" s="827"/>
      <c r="DY73" s="827"/>
      <c r="DZ73" s="827"/>
      <c r="EA73" s="827"/>
      <c r="EB73" s="827"/>
      <c r="EC73" s="827"/>
      <c r="ED73" s="827"/>
      <c r="EE73" s="827"/>
      <c r="EF73" s="827"/>
      <c r="EG73" s="827"/>
      <c r="EH73" s="827"/>
      <c r="EI73" s="827"/>
      <c r="EJ73" s="827"/>
      <c r="EK73" s="827"/>
      <c r="EL73" s="827"/>
      <c r="EM73" s="827"/>
      <c r="EN73" s="827"/>
      <c r="EO73" s="827"/>
      <c r="EP73" s="827"/>
      <c r="EQ73" s="827"/>
      <c r="ER73" s="827"/>
      <c r="ES73" s="827"/>
      <c r="ET73" s="827"/>
      <c r="EU73" s="827"/>
      <c r="EV73" s="827">
        <v>57.99</v>
      </c>
      <c r="EW73" s="827">
        <v>57.99</v>
      </c>
      <c r="EX73" s="827"/>
      <c r="EY73" s="827"/>
      <c r="EZ73" s="827">
        <v>57.99</v>
      </c>
      <c r="FA73" s="827"/>
      <c r="FB73" s="827"/>
      <c r="FC73" s="827"/>
      <c r="FD73" s="827"/>
      <c r="FE73" s="827"/>
      <c r="FF73" s="827"/>
      <c r="FG73" s="827"/>
      <c r="FH73" s="827"/>
      <c r="FI73" s="827"/>
      <c r="FJ73" s="827"/>
      <c r="FK73" s="827"/>
      <c r="FL73" s="827"/>
      <c r="FM73" s="827"/>
      <c r="FN73" s="827"/>
      <c r="FO73" s="827"/>
      <c r="FP73" s="827"/>
      <c r="FQ73" s="827"/>
      <c r="FR73" s="827"/>
      <c r="FS73" s="827"/>
      <c r="FT73" s="827"/>
      <c r="FU73" s="827"/>
      <c r="FV73" s="827"/>
      <c r="FW73" s="827"/>
      <c r="FX73" s="827"/>
      <c r="FY73" s="827"/>
      <c r="FZ73" s="827"/>
      <c r="GA73" s="827"/>
      <c r="GB73" s="827"/>
      <c r="GC73" s="827"/>
      <c r="GD73" s="827"/>
      <c r="GE73" s="827"/>
      <c r="GF73" s="827"/>
      <c r="GG73" s="827"/>
      <c r="GH73" s="827"/>
      <c r="GI73" s="827"/>
      <c r="GJ73" s="827"/>
      <c r="GK73" s="827"/>
      <c r="GL73" s="827"/>
      <c r="GM73" s="827"/>
      <c r="GN73" s="827"/>
      <c r="GO73" s="827"/>
      <c r="GP73" s="827"/>
      <c r="GQ73" s="827"/>
      <c r="GR73" s="827"/>
      <c r="GS73" s="827"/>
      <c r="GT73" s="827"/>
      <c r="GU73" s="827"/>
      <c r="GV73" s="827"/>
      <c r="GW73" s="827"/>
      <c r="GX73" s="827"/>
      <c r="GY73" s="827"/>
      <c r="GZ73" s="827"/>
      <c r="HA73" s="827"/>
      <c r="HB73" s="827"/>
      <c r="HC73" s="827"/>
      <c r="HD73" s="828"/>
      <c r="HE73" s="827"/>
      <c r="HF73" s="827"/>
      <c r="HG73" s="829">
        <v>57.99</v>
      </c>
    </row>
    <row r="74" spans="1:215" ht="12.75" x14ac:dyDescent="0.2">
      <c r="A74" s="463" t="s">
        <v>94</v>
      </c>
      <c r="B74" s="827"/>
      <c r="C74" s="827"/>
      <c r="D74" s="827"/>
      <c r="E74" s="827"/>
      <c r="F74" s="827"/>
      <c r="G74" s="827"/>
      <c r="H74" s="827"/>
      <c r="I74" s="827"/>
      <c r="J74" s="827"/>
      <c r="K74" s="827"/>
      <c r="L74" s="827"/>
      <c r="M74" s="827"/>
      <c r="N74" s="827"/>
      <c r="O74" s="827"/>
      <c r="P74" s="827"/>
      <c r="Q74" s="827">
        <v>0.3</v>
      </c>
      <c r="R74" s="827">
        <v>0.3</v>
      </c>
      <c r="S74" s="827">
        <v>0.3</v>
      </c>
      <c r="T74" s="827"/>
      <c r="U74" s="827"/>
      <c r="V74" s="827"/>
      <c r="W74" s="827"/>
      <c r="X74" s="827"/>
      <c r="Y74" s="827"/>
      <c r="Z74" s="827"/>
      <c r="AA74" s="827"/>
      <c r="AB74" s="827"/>
      <c r="AC74" s="827"/>
      <c r="AD74" s="827"/>
      <c r="AE74" s="827"/>
      <c r="AF74" s="827"/>
      <c r="AG74" s="827"/>
      <c r="AH74" s="827"/>
      <c r="AI74" s="827"/>
      <c r="AJ74" s="827"/>
      <c r="AK74" s="827"/>
      <c r="AL74" s="827"/>
      <c r="AM74" s="827"/>
      <c r="AN74" s="827"/>
      <c r="AO74" s="827"/>
      <c r="AP74" s="827"/>
      <c r="AQ74" s="827"/>
      <c r="AR74" s="827"/>
      <c r="AS74" s="827"/>
      <c r="AT74" s="827"/>
      <c r="AU74" s="827"/>
      <c r="AV74" s="827"/>
      <c r="AW74" s="827"/>
      <c r="AX74" s="827"/>
      <c r="AY74" s="827"/>
      <c r="AZ74" s="827"/>
      <c r="BA74" s="827"/>
      <c r="BB74" s="827"/>
      <c r="BC74" s="827"/>
      <c r="BD74" s="827"/>
      <c r="BE74" s="827"/>
      <c r="BF74" s="827"/>
      <c r="BG74" s="827"/>
      <c r="BH74" s="827"/>
      <c r="BI74" s="827"/>
      <c r="BJ74" s="827"/>
      <c r="BK74" s="827"/>
      <c r="BL74" s="827"/>
      <c r="BM74" s="827"/>
      <c r="BN74" s="827"/>
      <c r="BO74" s="827"/>
      <c r="BP74" s="827"/>
      <c r="BQ74" s="827"/>
      <c r="BR74" s="827"/>
      <c r="BS74" s="827"/>
      <c r="BT74" s="827"/>
      <c r="BU74" s="827"/>
      <c r="BV74" s="827"/>
      <c r="BW74" s="827"/>
      <c r="BX74" s="827"/>
      <c r="BY74" s="827"/>
      <c r="BZ74" s="827"/>
      <c r="CA74" s="827"/>
      <c r="CB74" s="827"/>
      <c r="CC74" s="827"/>
      <c r="CD74" s="827"/>
      <c r="CE74" s="827"/>
      <c r="CF74" s="827"/>
      <c r="CG74" s="827"/>
      <c r="CH74" s="827"/>
      <c r="CI74" s="827"/>
      <c r="CJ74" s="827"/>
      <c r="CK74" s="827"/>
      <c r="CL74" s="827"/>
      <c r="CM74" s="827"/>
      <c r="CN74" s="827"/>
      <c r="CO74" s="827"/>
      <c r="CP74" s="827"/>
      <c r="CQ74" s="827"/>
      <c r="CR74" s="827"/>
      <c r="CS74" s="827"/>
      <c r="CT74" s="827"/>
      <c r="CU74" s="827"/>
      <c r="CV74" s="827"/>
      <c r="CW74" s="827"/>
      <c r="CX74" s="827"/>
      <c r="CY74" s="827"/>
      <c r="CZ74" s="827"/>
      <c r="DA74" s="827"/>
      <c r="DB74" s="827"/>
      <c r="DC74" s="827"/>
      <c r="DD74" s="827"/>
      <c r="DE74" s="827"/>
      <c r="DF74" s="827"/>
      <c r="DG74" s="827"/>
      <c r="DH74" s="827"/>
      <c r="DI74" s="827"/>
      <c r="DJ74" s="827"/>
      <c r="DK74" s="827"/>
      <c r="DL74" s="827"/>
      <c r="DM74" s="827"/>
      <c r="DN74" s="827"/>
      <c r="DO74" s="827"/>
      <c r="DP74" s="827"/>
      <c r="DQ74" s="827"/>
      <c r="DR74" s="827"/>
      <c r="DS74" s="827"/>
      <c r="DT74" s="827"/>
      <c r="DU74" s="827"/>
      <c r="DV74" s="827"/>
      <c r="DW74" s="827"/>
      <c r="DX74" s="827"/>
      <c r="DY74" s="827"/>
      <c r="DZ74" s="827"/>
      <c r="EA74" s="827"/>
      <c r="EB74" s="827"/>
      <c r="EC74" s="827"/>
      <c r="ED74" s="827"/>
      <c r="EE74" s="827"/>
      <c r="EF74" s="827"/>
      <c r="EG74" s="827"/>
      <c r="EH74" s="827"/>
      <c r="EI74" s="827"/>
      <c r="EJ74" s="827"/>
      <c r="EK74" s="827"/>
      <c r="EL74" s="827"/>
      <c r="EM74" s="827"/>
      <c r="EN74" s="827"/>
      <c r="EO74" s="827"/>
      <c r="EP74" s="827"/>
      <c r="EQ74" s="827"/>
      <c r="ER74" s="827"/>
      <c r="ES74" s="827"/>
      <c r="ET74" s="827"/>
      <c r="EU74" s="827"/>
      <c r="EV74" s="827"/>
      <c r="EW74" s="827"/>
      <c r="EX74" s="827"/>
      <c r="EY74" s="827"/>
      <c r="EZ74" s="827"/>
      <c r="FA74" s="827"/>
      <c r="FB74" s="827"/>
      <c r="FC74" s="827"/>
      <c r="FD74" s="827"/>
      <c r="FE74" s="827"/>
      <c r="FF74" s="827"/>
      <c r="FG74" s="827"/>
      <c r="FH74" s="827"/>
      <c r="FI74" s="827"/>
      <c r="FJ74" s="827"/>
      <c r="FK74" s="827"/>
      <c r="FL74" s="827"/>
      <c r="FM74" s="827"/>
      <c r="FN74" s="827"/>
      <c r="FO74" s="827"/>
      <c r="FP74" s="827"/>
      <c r="FQ74" s="827"/>
      <c r="FR74" s="827"/>
      <c r="FS74" s="827"/>
      <c r="FT74" s="827"/>
      <c r="FU74" s="827"/>
      <c r="FV74" s="827"/>
      <c r="FW74" s="827"/>
      <c r="FX74" s="827"/>
      <c r="FY74" s="827"/>
      <c r="FZ74" s="827"/>
      <c r="GA74" s="827"/>
      <c r="GB74" s="827"/>
      <c r="GC74" s="827"/>
      <c r="GD74" s="827"/>
      <c r="GE74" s="827"/>
      <c r="GF74" s="827"/>
      <c r="GG74" s="827"/>
      <c r="GH74" s="827"/>
      <c r="GI74" s="827"/>
      <c r="GJ74" s="827"/>
      <c r="GK74" s="827"/>
      <c r="GL74" s="827"/>
      <c r="GM74" s="827"/>
      <c r="GN74" s="827"/>
      <c r="GO74" s="827"/>
      <c r="GP74" s="827"/>
      <c r="GQ74" s="827"/>
      <c r="GR74" s="827"/>
      <c r="GS74" s="827"/>
      <c r="GT74" s="827"/>
      <c r="GU74" s="827"/>
      <c r="GV74" s="827"/>
      <c r="GW74" s="827"/>
      <c r="GX74" s="827"/>
      <c r="GY74" s="827"/>
      <c r="GZ74" s="827"/>
      <c r="HA74" s="827"/>
      <c r="HB74" s="827"/>
      <c r="HC74" s="827"/>
      <c r="HD74" s="828"/>
      <c r="HE74" s="827"/>
      <c r="HF74" s="827"/>
      <c r="HG74" s="829">
        <v>0.3</v>
      </c>
    </row>
    <row r="75" spans="1:215" ht="12.75" x14ac:dyDescent="0.2">
      <c r="A75" s="463" t="s">
        <v>71</v>
      </c>
      <c r="B75" s="827"/>
      <c r="C75" s="827"/>
      <c r="D75" s="827"/>
      <c r="E75" s="827"/>
      <c r="F75" s="827"/>
      <c r="G75" s="827"/>
      <c r="H75" s="827"/>
      <c r="I75" s="827"/>
      <c r="J75" s="827"/>
      <c r="K75" s="827"/>
      <c r="L75" s="827"/>
      <c r="M75" s="827"/>
      <c r="N75" s="827"/>
      <c r="O75" s="827"/>
      <c r="P75" s="827"/>
      <c r="Q75" s="827"/>
      <c r="R75" s="827"/>
      <c r="S75" s="827"/>
      <c r="T75" s="827"/>
      <c r="U75" s="827"/>
      <c r="V75" s="827"/>
      <c r="W75" s="827"/>
      <c r="X75" s="827"/>
      <c r="Y75" s="827"/>
      <c r="Z75" s="827"/>
      <c r="AA75" s="827"/>
      <c r="AB75" s="827"/>
      <c r="AC75" s="827"/>
      <c r="AD75" s="827"/>
      <c r="AE75" s="827"/>
      <c r="AF75" s="827"/>
      <c r="AG75" s="827"/>
      <c r="AH75" s="827"/>
      <c r="AI75" s="827"/>
      <c r="AJ75" s="827"/>
      <c r="AK75" s="827"/>
      <c r="AL75" s="827"/>
      <c r="AM75" s="827"/>
      <c r="AN75" s="827"/>
      <c r="AO75" s="827"/>
      <c r="AP75" s="827"/>
      <c r="AQ75" s="827"/>
      <c r="AR75" s="827"/>
      <c r="AS75" s="827"/>
      <c r="AT75" s="827"/>
      <c r="AU75" s="827"/>
      <c r="AV75" s="827"/>
      <c r="AW75" s="827"/>
      <c r="AX75" s="827"/>
      <c r="AY75" s="827"/>
      <c r="AZ75" s="827"/>
      <c r="BA75" s="827"/>
      <c r="BB75" s="827"/>
      <c r="BC75" s="827"/>
      <c r="BD75" s="827"/>
      <c r="BE75" s="827"/>
      <c r="BF75" s="827"/>
      <c r="BG75" s="827"/>
      <c r="BH75" s="827"/>
      <c r="BI75" s="827"/>
      <c r="BJ75" s="827"/>
      <c r="BK75" s="827"/>
      <c r="BL75" s="827"/>
      <c r="BM75" s="827"/>
      <c r="BN75" s="827"/>
      <c r="BO75" s="827"/>
      <c r="BP75" s="827"/>
      <c r="BQ75" s="827"/>
      <c r="BR75" s="827"/>
      <c r="BS75" s="827"/>
      <c r="BT75" s="827"/>
      <c r="BU75" s="827"/>
      <c r="BV75" s="827"/>
      <c r="BW75" s="827"/>
      <c r="BX75" s="827"/>
      <c r="BY75" s="827"/>
      <c r="BZ75" s="827"/>
      <c r="CA75" s="827">
        <v>4.25</v>
      </c>
      <c r="CB75" s="827">
        <v>4.25</v>
      </c>
      <c r="CC75" s="827">
        <v>4.25</v>
      </c>
      <c r="CD75" s="827"/>
      <c r="CE75" s="827"/>
      <c r="CF75" s="827"/>
      <c r="CG75" s="827"/>
      <c r="CH75" s="827"/>
      <c r="CI75" s="827"/>
      <c r="CJ75" s="827"/>
      <c r="CK75" s="827"/>
      <c r="CL75" s="827"/>
      <c r="CM75" s="827"/>
      <c r="CN75" s="827"/>
      <c r="CO75" s="827"/>
      <c r="CP75" s="827"/>
      <c r="CQ75" s="827"/>
      <c r="CR75" s="827"/>
      <c r="CS75" s="827"/>
      <c r="CT75" s="827"/>
      <c r="CU75" s="827"/>
      <c r="CV75" s="827"/>
      <c r="CW75" s="827"/>
      <c r="CX75" s="827"/>
      <c r="CY75" s="827"/>
      <c r="CZ75" s="827"/>
      <c r="DA75" s="827"/>
      <c r="DB75" s="827"/>
      <c r="DC75" s="827"/>
      <c r="DD75" s="827"/>
      <c r="DE75" s="827"/>
      <c r="DF75" s="827"/>
      <c r="DG75" s="827"/>
      <c r="DH75" s="827"/>
      <c r="DI75" s="827"/>
      <c r="DJ75" s="827"/>
      <c r="DK75" s="827"/>
      <c r="DL75" s="827"/>
      <c r="DM75" s="827"/>
      <c r="DN75" s="827"/>
      <c r="DO75" s="827"/>
      <c r="DP75" s="827"/>
      <c r="DQ75" s="827"/>
      <c r="DR75" s="827"/>
      <c r="DS75" s="827"/>
      <c r="DT75" s="827"/>
      <c r="DU75" s="827"/>
      <c r="DV75" s="827"/>
      <c r="DW75" s="827"/>
      <c r="DX75" s="827"/>
      <c r="DY75" s="827"/>
      <c r="DZ75" s="827"/>
      <c r="EA75" s="827"/>
      <c r="EB75" s="827"/>
      <c r="EC75" s="827"/>
      <c r="ED75" s="827"/>
      <c r="EE75" s="827"/>
      <c r="EF75" s="827"/>
      <c r="EG75" s="827"/>
      <c r="EH75" s="827"/>
      <c r="EI75" s="827"/>
      <c r="EJ75" s="827"/>
      <c r="EK75" s="827"/>
      <c r="EL75" s="827"/>
      <c r="EM75" s="827"/>
      <c r="EN75" s="827"/>
      <c r="EO75" s="827"/>
      <c r="EP75" s="827"/>
      <c r="EQ75" s="827"/>
      <c r="ER75" s="827"/>
      <c r="ES75" s="827"/>
      <c r="ET75" s="827"/>
      <c r="EU75" s="827"/>
      <c r="EV75" s="827"/>
      <c r="EW75" s="827"/>
      <c r="EX75" s="827"/>
      <c r="EY75" s="827"/>
      <c r="EZ75" s="827"/>
      <c r="FA75" s="827"/>
      <c r="FB75" s="827"/>
      <c r="FC75" s="827"/>
      <c r="FD75" s="827"/>
      <c r="FE75" s="827"/>
      <c r="FF75" s="827"/>
      <c r="FG75" s="827"/>
      <c r="FH75" s="827"/>
      <c r="FI75" s="827"/>
      <c r="FJ75" s="827"/>
      <c r="FK75" s="827"/>
      <c r="FL75" s="827"/>
      <c r="FM75" s="827"/>
      <c r="FN75" s="827"/>
      <c r="FO75" s="827"/>
      <c r="FP75" s="827"/>
      <c r="FQ75" s="827"/>
      <c r="FR75" s="827"/>
      <c r="FS75" s="827"/>
      <c r="FT75" s="827"/>
      <c r="FU75" s="827"/>
      <c r="FV75" s="827"/>
      <c r="FW75" s="827"/>
      <c r="FX75" s="827"/>
      <c r="FY75" s="827"/>
      <c r="FZ75" s="827"/>
      <c r="GA75" s="827"/>
      <c r="GB75" s="827"/>
      <c r="GC75" s="827"/>
      <c r="GD75" s="827"/>
      <c r="GE75" s="827"/>
      <c r="GF75" s="827"/>
      <c r="GG75" s="827"/>
      <c r="GH75" s="827"/>
      <c r="GI75" s="827"/>
      <c r="GJ75" s="827"/>
      <c r="GK75" s="827"/>
      <c r="GL75" s="827"/>
      <c r="GM75" s="827"/>
      <c r="GN75" s="827"/>
      <c r="GO75" s="827"/>
      <c r="GP75" s="827"/>
      <c r="GQ75" s="827"/>
      <c r="GR75" s="827"/>
      <c r="GS75" s="827"/>
      <c r="GT75" s="827"/>
      <c r="GU75" s="827"/>
      <c r="GV75" s="827"/>
      <c r="GW75" s="827"/>
      <c r="GX75" s="827"/>
      <c r="GY75" s="827"/>
      <c r="GZ75" s="827"/>
      <c r="HA75" s="827"/>
      <c r="HB75" s="827"/>
      <c r="HC75" s="827"/>
      <c r="HD75" s="828"/>
      <c r="HE75" s="827"/>
      <c r="HF75" s="827"/>
      <c r="HG75" s="829">
        <v>4.25</v>
      </c>
    </row>
    <row r="76" spans="1:215" ht="12.75" x14ac:dyDescent="0.2">
      <c r="A76" s="463" t="s">
        <v>92</v>
      </c>
      <c r="B76" s="827"/>
      <c r="C76" s="827"/>
      <c r="D76" s="827"/>
      <c r="E76" s="827"/>
      <c r="F76" s="827"/>
      <c r="G76" s="827"/>
      <c r="H76" s="827"/>
      <c r="I76" s="827"/>
      <c r="J76" s="827"/>
      <c r="K76" s="827">
        <v>0.25</v>
      </c>
      <c r="L76" s="827">
        <v>0.25</v>
      </c>
      <c r="M76" s="827">
        <v>0.25</v>
      </c>
      <c r="N76" s="827"/>
      <c r="O76" s="827"/>
      <c r="P76" s="827"/>
      <c r="Q76" s="827"/>
      <c r="R76" s="827"/>
      <c r="S76" s="827"/>
      <c r="T76" s="827"/>
      <c r="U76" s="827"/>
      <c r="V76" s="827"/>
      <c r="W76" s="827"/>
      <c r="X76" s="827"/>
      <c r="Y76" s="827"/>
      <c r="Z76" s="827"/>
      <c r="AA76" s="827"/>
      <c r="AB76" s="827"/>
      <c r="AC76" s="827"/>
      <c r="AD76" s="827"/>
      <c r="AE76" s="827"/>
      <c r="AF76" s="827"/>
      <c r="AG76" s="827"/>
      <c r="AH76" s="827"/>
      <c r="AI76" s="827"/>
      <c r="AJ76" s="827"/>
      <c r="AK76" s="827"/>
      <c r="AL76" s="827"/>
      <c r="AM76" s="827"/>
      <c r="AN76" s="827"/>
      <c r="AO76" s="827"/>
      <c r="AP76" s="827"/>
      <c r="AQ76" s="827"/>
      <c r="AR76" s="827"/>
      <c r="AS76" s="827"/>
      <c r="AT76" s="827"/>
      <c r="AU76" s="827"/>
      <c r="AV76" s="827"/>
      <c r="AW76" s="827"/>
      <c r="AX76" s="827"/>
      <c r="AY76" s="827"/>
      <c r="AZ76" s="827"/>
      <c r="BA76" s="827"/>
      <c r="BB76" s="827"/>
      <c r="BC76" s="827"/>
      <c r="BD76" s="827"/>
      <c r="BE76" s="827"/>
      <c r="BF76" s="827"/>
      <c r="BG76" s="827"/>
      <c r="BH76" s="827"/>
      <c r="BI76" s="827"/>
      <c r="BJ76" s="827"/>
      <c r="BK76" s="827"/>
      <c r="BL76" s="827"/>
      <c r="BM76" s="827"/>
      <c r="BN76" s="827"/>
      <c r="BO76" s="827"/>
      <c r="BP76" s="827"/>
      <c r="BQ76" s="827"/>
      <c r="BR76" s="827"/>
      <c r="BS76" s="827"/>
      <c r="BT76" s="827"/>
      <c r="BU76" s="827"/>
      <c r="BV76" s="827"/>
      <c r="BW76" s="827"/>
      <c r="BX76" s="827"/>
      <c r="BY76" s="827"/>
      <c r="BZ76" s="827"/>
      <c r="CA76" s="827"/>
      <c r="CB76" s="827"/>
      <c r="CC76" s="827"/>
      <c r="CD76" s="827"/>
      <c r="CE76" s="827"/>
      <c r="CF76" s="827"/>
      <c r="CG76" s="827"/>
      <c r="CH76" s="827"/>
      <c r="CI76" s="827"/>
      <c r="CJ76" s="827"/>
      <c r="CK76" s="827"/>
      <c r="CL76" s="827"/>
      <c r="CM76" s="827"/>
      <c r="CN76" s="827"/>
      <c r="CO76" s="827"/>
      <c r="CP76" s="827"/>
      <c r="CQ76" s="827"/>
      <c r="CR76" s="827"/>
      <c r="CS76" s="827"/>
      <c r="CT76" s="827"/>
      <c r="CU76" s="827"/>
      <c r="CV76" s="827"/>
      <c r="CW76" s="827"/>
      <c r="CX76" s="827"/>
      <c r="CY76" s="827"/>
      <c r="CZ76" s="827"/>
      <c r="DA76" s="827"/>
      <c r="DB76" s="827"/>
      <c r="DC76" s="827"/>
      <c r="DD76" s="827"/>
      <c r="DE76" s="827"/>
      <c r="DF76" s="827"/>
      <c r="DG76" s="827"/>
      <c r="DH76" s="827"/>
      <c r="DI76" s="827"/>
      <c r="DJ76" s="827"/>
      <c r="DK76" s="827"/>
      <c r="DL76" s="827"/>
      <c r="DM76" s="827"/>
      <c r="DN76" s="827"/>
      <c r="DO76" s="827"/>
      <c r="DP76" s="827"/>
      <c r="DQ76" s="827"/>
      <c r="DR76" s="827"/>
      <c r="DS76" s="827"/>
      <c r="DT76" s="827"/>
      <c r="DU76" s="827"/>
      <c r="DV76" s="827"/>
      <c r="DW76" s="827"/>
      <c r="DX76" s="827"/>
      <c r="DY76" s="827"/>
      <c r="DZ76" s="827"/>
      <c r="EA76" s="827"/>
      <c r="EB76" s="827"/>
      <c r="EC76" s="827"/>
      <c r="ED76" s="827"/>
      <c r="EE76" s="827"/>
      <c r="EF76" s="827"/>
      <c r="EG76" s="827"/>
      <c r="EH76" s="827"/>
      <c r="EI76" s="827"/>
      <c r="EJ76" s="827"/>
      <c r="EK76" s="827"/>
      <c r="EL76" s="827"/>
      <c r="EM76" s="827"/>
      <c r="EN76" s="827"/>
      <c r="EO76" s="827"/>
      <c r="EP76" s="827"/>
      <c r="EQ76" s="827"/>
      <c r="ER76" s="827"/>
      <c r="ES76" s="827"/>
      <c r="ET76" s="827"/>
      <c r="EU76" s="827"/>
      <c r="EV76" s="827"/>
      <c r="EW76" s="827"/>
      <c r="EX76" s="827"/>
      <c r="EY76" s="827"/>
      <c r="EZ76" s="827"/>
      <c r="FA76" s="827"/>
      <c r="FB76" s="827"/>
      <c r="FC76" s="827"/>
      <c r="FD76" s="827"/>
      <c r="FE76" s="827"/>
      <c r="FF76" s="827"/>
      <c r="FG76" s="827"/>
      <c r="FH76" s="827"/>
      <c r="FI76" s="827"/>
      <c r="FJ76" s="827"/>
      <c r="FK76" s="827"/>
      <c r="FL76" s="827"/>
      <c r="FM76" s="827"/>
      <c r="FN76" s="827"/>
      <c r="FO76" s="827"/>
      <c r="FP76" s="827"/>
      <c r="FQ76" s="827"/>
      <c r="FR76" s="827"/>
      <c r="FS76" s="827"/>
      <c r="FT76" s="827"/>
      <c r="FU76" s="827"/>
      <c r="FV76" s="827"/>
      <c r="FW76" s="827"/>
      <c r="FX76" s="827"/>
      <c r="FY76" s="827"/>
      <c r="FZ76" s="827"/>
      <c r="GA76" s="827"/>
      <c r="GB76" s="827"/>
      <c r="GC76" s="827"/>
      <c r="GD76" s="827"/>
      <c r="GE76" s="827"/>
      <c r="GF76" s="827"/>
      <c r="GG76" s="827"/>
      <c r="GH76" s="827"/>
      <c r="GI76" s="827"/>
      <c r="GJ76" s="827"/>
      <c r="GK76" s="827"/>
      <c r="GL76" s="827"/>
      <c r="GM76" s="827"/>
      <c r="GN76" s="827"/>
      <c r="GO76" s="827"/>
      <c r="GP76" s="827"/>
      <c r="GQ76" s="827"/>
      <c r="GR76" s="827"/>
      <c r="GS76" s="827"/>
      <c r="GT76" s="827"/>
      <c r="GU76" s="827"/>
      <c r="GV76" s="827"/>
      <c r="GW76" s="827"/>
      <c r="GX76" s="827"/>
      <c r="GY76" s="827"/>
      <c r="GZ76" s="827"/>
      <c r="HA76" s="827"/>
      <c r="HB76" s="827"/>
      <c r="HC76" s="827"/>
      <c r="HD76" s="828"/>
      <c r="HE76" s="827"/>
      <c r="HF76" s="827"/>
      <c r="HG76" s="829">
        <v>0.25</v>
      </c>
    </row>
    <row r="77" spans="1:215" ht="12.75" x14ac:dyDescent="0.2">
      <c r="A77" s="463" t="s">
        <v>74</v>
      </c>
      <c r="B77" s="827"/>
      <c r="C77" s="827"/>
      <c r="D77" s="827"/>
      <c r="E77" s="827"/>
      <c r="F77" s="827"/>
      <c r="G77" s="827"/>
      <c r="H77" s="827"/>
      <c r="I77" s="827"/>
      <c r="J77" s="827"/>
      <c r="K77" s="827"/>
      <c r="L77" s="827"/>
      <c r="M77" s="827"/>
      <c r="N77" s="827"/>
      <c r="O77" s="827"/>
      <c r="P77" s="827"/>
      <c r="Q77" s="827"/>
      <c r="R77" s="827"/>
      <c r="S77" s="827"/>
      <c r="T77" s="827"/>
      <c r="U77" s="827"/>
      <c r="V77" s="827"/>
      <c r="W77" s="827"/>
      <c r="X77" s="827"/>
      <c r="Y77" s="827"/>
      <c r="Z77" s="827"/>
      <c r="AA77" s="827"/>
      <c r="AB77" s="827"/>
      <c r="AC77" s="827"/>
      <c r="AD77" s="827"/>
      <c r="AE77" s="827"/>
      <c r="AF77" s="827"/>
      <c r="AG77" s="827"/>
      <c r="AH77" s="827"/>
      <c r="AI77" s="827"/>
      <c r="AJ77" s="827"/>
      <c r="AK77" s="827"/>
      <c r="AL77" s="827">
        <v>1</v>
      </c>
      <c r="AM77" s="827">
        <v>1</v>
      </c>
      <c r="AN77" s="827"/>
      <c r="AO77" s="827"/>
      <c r="AP77" s="827">
        <v>1</v>
      </c>
      <c r="AQ77" s="827"/>
      <c r="AR77" s="827"/>
      <c r="AS77" s="827"/>
      <c r="AT77" s="827"/>
      <c r="AU77" s="827"/>
      <c r="AV77" s="827"/>
      <c r="AW77" s="827"/>
      <c r="AX77" s="827"/>
      <c r="AY77" s="827"/>
      <c r="AZ77" s="827"/>
      <c r="BA77" s="827"/>
      <c r="BB77" s="827"/>
      <c r="BC77" s="827"/>
      <c r="BD77" s="827"/>
      <c r="BE77" s="827"/>
      <c r="BF77" s="827"/>
      <c r="BG77" s="827"/>
      <c r="BH77" s="827"/>
      <c r="BI77" s="827"/>
      <c r="BJ77" s="827"/>
      <c r="BK77" s="827"/>
      <c r="BL77" s="827"/>
      <c r="BM77" s="827"/>
      <c r="BN77" s="827"/>
      <c r="BO77" s="827"/>
      <c r="BP77" s="827"/>
      <c r="BQ77" s="827"/>
      <c r="BR77" s="827"/>
      <c r="BS77" s="827"/>
      <c r="BT77" s="827"/>
      <c r="BU77" s="827"/>
      <c r="BV77" s="827"/>
      <c r="BW77" s="827"/>
      <c r="BX77" s="827"/>
      <c r="BY77" s="827"/>
      <c r="BZ77" s="827"/>
      <c r="CA77" s="827"/>
      <c r="CB77" s="827"/>
      <c r="CC77" s="827"/>
      <c r="CD77" s="827"/>
      <c r="CE77" s="827"/>
      <c r="CF77" s="827"/>
      <c r="CG77" s="827"/>
      <c r="CH77" s="827"/>
      <c r="CI77" s="827"/>
      <c r="CJ77" s="827"/>
      <c r="CK77" s="827"/>
      <c r="CL77" s="827"/>
      <c r="CM77" s="827"/>
      <c r="CN77" s="827"/>
      <c r="CO77" s="827"/>
      <c r="CP77" s="827"/>
      <c r="CQ77" s="827"/>
      <c r="CR77" s="827"/>
      <c r="CS77" s="827"/>
      <c r="CT77" s="827"/>
      <c r="CU77" s="827"/>
      <c r="CV77" s="827"/>
      <c r="CW77" s="827"/>
      <c r="CX77" s="827"/>
      <c r="CY77" s="827"/>
      <c r="CZ77" s="827"/>
      <c r="DA77" s="827"/>
      <c r="DB77" s="827"/>
      <c r="DC77" s="827"/>
      <c r="DD77" s="827"/>
      <c r="DE77" s="827"/>
      <c r="DF77" s="827"/>
      <c r="DG77" s="827"/>
      <c r="DH77" s="827"/>
      <c r="DI77" s="827"/>
      <c r="DJ77" s="827"/>
      <c r="DK77" s="827"/>
      <c r="DL77" s="827"/>
      <c r="DM77" s="827"/>
      <c r="DN77" s="827"/>
      <c r="DO77" s="827"/>
      <c r="DP77" s="827"/>
      <c r="DQ77" s="827"/>
      <c r="DR77" s="827"/>
      <c r="DS77" s="827"/>
      <c r="DT77" s="827"/>
      <c r="DU77" s="827"/>
      <c r="DV77" s="827"/>
      <c r="DW77" s="827"/>
      <c r="DX77" s="827"/>
      <c r="DY77" s="827"/>
      <c r="DZ77" s="827"/>
      <c r="EA77" s="827"/>
      <c r="EB77" s="827"/>
      <c r="EC77" s="827"/>
      <c r="ED77" s="827"/>
      <c r="EE77" s="827"/>
      <c r="EF77" s="827"/>
      <c r="EG77" s="827"/>
      <c r="EH77" s="827"/>
      <c r="EI77" s="827"/>
      <c r="EJ77" s="827"/>
      <c r="EK77" s="827"/>
      <c r="EL77" s="827"/>
      <c r="EM77" s="827"/>
      <c r="EN77" s="827"/>
      <c r="EO77" s="827"/>
      <c r="EP77" s="827"/>
      <c r="EQ77" s="827"/>
      <c r="ER77" s="827"/>
      <c r="ES77" s="827"/>
      <c r="ET77" s="827"/>
      <c r="EU77" s="827"/>
      <c r="EV77" s="827"/>
      <c r="EW77" s="827"/>
      <c r="EX77" s="827"/>
      <c r="EY77" s="827"/>
      <c r="EZ77" s="827"/>
      <c r="FA77" s="827"/>
      <c r="FB77" s="827"/>
      <c r="FC77" s="827"/>
      <c r="FD77" s="827"/>
      <c r="FE77" s="827"/>
      <c r="FF77" s="827"/>
      <c r="FG77" s="827"/>
      <c r="FH77" s="827"/>
      <c r="FI77" s="827"/>
      <c r="FJ77" s="827"/>
      <c r="FK77" s="827"/>
      <c r="FL77" s="827"/>
      <c r="FM77" s="827"/>
      <c r="FN77" s="827"/>
      <c r="FO77" s="827"/>
      <c r="FP77" s="827"/>
      <c r="FQ77" s="827"/>
      <c r="FR77" s="827"/>
      <c r="FS77" s="827"/>
      <c r="FT77" s="827"/>
      <c r="FU77" s="827"/>
      <c r="FV77" s="827"/>
      <c r="FW77" s="827"/>
      <c r="FX77" s="827"/>
      <c r="FY77" s="827"/>
      <c r="FZ77" s="827"/>
      <c r="GA77" s="827"/>
      <c r="GB77" s="827"/>
      <c r="GC77" s="827"/>
      <c r="GD77" s="827"/>
      <c r="GE77" s="827"/>
      <c r="GF77" s="827"/>
      <c r="GG77" s="827"/>
      <c r="GH77" s="827"/>
      <c r="GI77" s="827"/>
      <c r="GJ77" s="827"/>
      <c r="GK77" s="827"/>
      <c r="GL77" s="827"/>
      <c r="GM77" s="827"/>
      <c r="GN77" s="827"/>
      <c r="GO77" s="827"/>
      <c r="GP77" s="827"/>
      <c r="GQ77" s="827"/>
      <c r="GR77" s="827"/>
      <c r="GS77" s="827"/>
      <c r="GT77" s="827"/>
      <c r="GU77" s="827"/>
      <c r="GV77" s="827"/>
      <c r="GW77" s="827"/>
      <c r="GX77" s="827"/>
      <c r="GY77" s="827"/>
      <c r="GZ77" s="827"/>
      <c r="HA77" s="827"/>
      <c r="HB77" s="827"/>
      <c r="HC77" s="827"/>
      <c r="HD77" s="828"/>
      <c r="HE77" s="827"/>
      <c r="HF77" s="827"/>
      <c r="HG77" s="829">
        <v>1</v>
      </c>
    </row>
    <row r="78" spans="1:215" ht="12.75" x14ac:dyDescent="0.2">
      <c r="A78" s="463" t="s">
        <v>124</v>
      </c>
      <c r="B78" s="827"/>
      <c r="C78" s="827"/>
      <c r="D78" s="827"/>
      <c r="E78" s="827"/>
      <c r="F78" s="827"/>
      <c r="G78" s="827"/>
      <c r="H78" s="827"/>
      <c r="I78" s="827"/>
      <c r="J78" s="827"/>
      <c r="K78" s="827"/>
      <c r="L78" s="827"/>
      <c r="M78" s="827"/>
      <c r="N78" s="827">
        <v>0.26250000000000001</v>
      </c>
      <c r="O78" s="827">
        <v>0.26250000000000001</v>
      </c>
      <c r="P78" s="827">
        <v>0.26250000000000001</v>
      </c>
      <c r="Q78" s="827"/>
      <c r="R78" s="827"/>
      <c r="S78" s="827"/>
      <c r="T78" s="827"/>
      <c r="U78" s="827"/>
      <c r="V78" s="827"/>
      <c r="W78" s="827"/>
      <c r="X78" s="827"/>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7"/>
      <c r="AY78" s="827"/>
      <c r="AZ78" s="827"/>
      <c r="BA78" s="827"/>
      <c r="BB78" s="827"/>
      <c r="BC78" s="827"/>
      <c r="BD78" s="827"/>
      <c r="BE78" s="827"/>
      <c r="BF78" s="827"/>
      <c r="BG78" s="827"/>
      <c r="BH78" s="827"/>
      <c r="BI78" s="827"/>
      <c r="BJ78" s="827"/>
      <c r="BK78" s="827"/>
      <c r="BL78" s="827"/>
      <c r="BM78" s="827"/>
      <c r="BN78" s="827"/>
      <c r="BO78" s="827"/>
      <c r="BP78" s="827"/>
      <c r="BQ78" s="827"/>
      <c r="BR78" s="827"/>
      <c r="BS78" s="827"/>
      <c r="BT78" s="827"/>
      <c r="BU78" s="827"/>
      <c r="BV78" s="827"/>
      <c r="BW78" s="827"/>
      <c r="BX78" s="827"/>
      <c r="BY78" s="827"/>
      <c r="BZ78" s="827"/>
      <c r="CA78" s="827"/>
      <c r="CB78" s="827"/>
      <c r="CC78" s="827"/>
      <c r="CD78" s="827"/>
      <c r="CE78" s="827"/>
      <c r="CF78" s="827"/>
      <c r="CG78" s="827"/>
      <c r="CH78" s="827"/>
      <c r="CI78" s="827"/>
      <c r="CJ78" s="827"/>
      <c r="CK78" s="827"/>
      <c r="CL78" s="827"/>
      <c r="CM78" s="827"/>
      <c r="CN78" s="827"/>
      <c r="CO78" s="827"/>
      <c r="CP78" s="827"/>
      <c r="CQ78" s="827"/>
      <c r="CR78" s="827"/>
      <c r="CS78" s="827"/>
      <c r="CT78" s="827"/>
      <c r="CU78" s="827"/>
      <c r="CV78" s="827"/>
      <c r="CW78" s="827"/>
      <c r="CX78" s="827"/>
      <c r="CY78" s="827"/>
      <c r="CZ78" s="827"/>
      <c r="DA78" s="827"/>
      <c r="DB78" s="827"/>
      <c r="DC78" s="827"/>
      <c r="DD78" s="827"/>
      <c r="DE78" s="827"/>
      <c r="DF78" s="827"/>
      <c r="DG78" s="827"/>
      <c r="DH78" s="827"/>
      <c r="DI78" s="827"/>
      <c r="DJ78" s="827"/>
      <c r="DK78" s="827"/>
      <c r="DL78" s="827"/>
      <c r="DM78" s="827"/>
      <c r="DN78" s="827"/>
      <c r="DO78" s="827"/>
      <c r="DP78" s="827"/>
      <c r="DQ78" s="827"/>
      <c r="DR78" s="827"/>
      <c r="DS78" s="827"/>
      <c r="DT78" s="827"/>
      <c r="DU78" s="827"/>
      <c r="DV78" s="827"/>
      <c r="DW78" s="827"/>
      <c r="DX78" s="827"/>
      <c r="DY78" s="827"/>
      <c r="DZ78" s="827"/>
      <c r="EA78" s="827"/>
      <c r="EB78" s="827"/>
      <c r="EC78" s="827"/>
      <c r="ED78" s="827"/>
      <c r="EE78" s="827"/>
      <c r="EF78" s="827"/>
      <c r="EG78" s="827"/>
      <c r="EH78" s="827"/>
      <c r="EI78" s="827"/>
      <c r="EJ78" s="827"/>
      <c r="EK78" s="827"/>
      <c r="EL78" s="827"/>
      <c r="EM78" s="827"/>
      <c r="EN78" s="827"/>
      <c r="EO78" s="827"/>
      <c r="EP78" s="827"/>
      <c r="EQ78" s="827"/>
      <c r="ER78" s="827"/>
      <c r="ES78" s="827"/>
      <c r="ET78" s="827"/>
      <c r="EU78" s="827"/>
      <c r="EV78" s="827"/>
      <c r="EW78" s="827"/>
      <c r="EX78" s="827"/>
      <c r="EY78" s="827"/>
      <c r="EZ78" s="827"/>
      <c r="FA78" s="827"/>
      <c r="FB78" s="827"/>
      <c r="FC78" s="827"/>
      <c r="FD78" s="827"/>
      <c r="FE78" s="827"/>
      <c r="FF78" s="827"/>
      <c r="FG78" s="827"/>
      <c r="FH78" s="827"/>
      <c r="FI78" s="827"/>
      <c r="FJ78" s="827"/>
      <c r="FK78" s="827"/>
      <c r="FL78" s="827"/>
      <c r="FM78" s="827"/>
      <c r="FN78" s="827"/>
      <c r="FO78" s="827"/>
      <c r="FP78" s="827"/>
      <c r="FQ78" s="827"/>
      <c r="FR78" s="827"/>
      <c r="FS78" s="827"/>
      <c r="FT78" s="827"/>
      <c r="FU78" s="827"/>
      <c r="FV78" s="827"/>
      <c r="FW78" s="827"/>
      <c r="FX78" s="827"/>
      <c r="FY78" s="827"/>
      <c r="FZ78" s="827"/>
      <c r="GA78" s="827"/>
      <c r="GB78" s="827"/>
      <c r="GC78" s="827"/>
      <c r="GD78" s="827"/>
      <c r="GE78" s="827"/>
      <c r="GF78" s="827"/>
      <c r="GG78" s="827"/>
      <c r="GH78" s="827"/>
      <c r="GI78" s="827"/>
      <c r="GJ78" s="827"/>
      <c r="GK78" s="827"/>
      <c r="GL78" s="827"/>
      <c r="GM78" s="827"/>
      <c r="GN78" s="827"/>
      <c r="GO78" s="827"/>
      <c r="GP78" s="827"/>
      <c r="GQ78" s="827"/>
      <c r="GR78" s="827"/>
      <c r="GS78" s="827"/>
      <c r="GT78" s="827"/>
      <c r="GU78" s="827"/>
      <c r="GV78" s="827"/>
      <c r="GW78" s="827"/>
      <c r="GX78" s="827"/>
      <c r="GY78" s="827"/>
      <c r="GZ78" s="827"/>
      <c r="HA78" s="827"/>
      <c r="HB78" s="827"/>
      <c r="HC78" s="827"/>
      <c r="HD78" s="828"/>
      <c r="HE78" s="827"/>
      <c r="HF78" s="827"/>
      <c r="HG78" s="829">
        <v>0.26250000000000001</v>
      </c>
    </row>
    <row r="79" spans="1:215" ht="12.75" x14ac:dyDescent="0.2">
      <c r="A79" s="463" t="s">
        <v>126</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827"/>
      <c r="AP79" s="827"/>
      <c r="AQ79" s="827"/>
      <c r="AR79" s="827"/>
      <c r="AS79" s="827"/>
      <c r="AT79" s="827"/>
      <c r="AU79" s="827"/>
      <c r="AV79" s="827"/>
      <c r="AW79" s="827"/>
      <c r="AX79" s="827"/>
      <c r="AY79" s="827"/>
      <c r="AZ79" s="827"/>
      <c r="BA79" s="827"/>
      <c r="BB79" s="827"/>
      <c r="BC79" s="827"/>
      <c r="BD79" s="827"/>
      <c r="BE79" s="827"/>
      <c r="BF79" s="827"/>
      <c r="BG79" s="827"/>
      <c r="BH79" s="827"/>
      <c r="BI79" s="827"/>
      <c r="BJ79" s="827"/>
      <c r="BK79" s="827"/>
      <c r="BL79" s="827"/>
      <c r="BM79" s="827"/>
      <c r="BN79" s="827"/>
      <c r="BO79" s="827"/>
      <c r="BP79" s="827"/>
      <c r="BQ79" s="827"/>
      <c r="BR79" s="827"/>
      <c r="BS79" s="827"/>
      <c r="BT79" s="827"/>
      <c r="BU79" s="827"/>
      <c r="BV79" s="827"/>
      <c r="BW79" s="827"/>
      <c r="BX79" s="827"/>
      <c r="BY79" s="827"/>
      <c r="BZ79" s="827"/>
      <c r="CA79" s="827">
        <v>4.25</v>
      </c>
      <c r="CB79" s="827">
        <v>4.25</v>
      </c>
      <c r="CC79" s="827">
        <v>4.25</v>
      </c>
      <c r="CD79" s="827"/>
      <c r="CE79" s="827"/>
      <c r="CF79" s="827"/>
      <c r="CG79" s="827"/>
      <c r="CH79" s="827"/>
      <c r="CI79" s="827"/>
      <c r="CJ79" s="827"/>
      <c r="CK79" s="827"/>
      <c r="CL79" s="827"/>
      <c r="CM79" s="827"/>
      <c r="CN79" s="827"/>
      <c r="CO79" s="827"/>
      <c r="CP79" s="827"/>
      <c r="CQ79" s="827"/>
      <c r="CR79" s="827"/>
      <c r="CS79" s="827"/>
      <c r="CT79" s="827"/>
      <c r="CU79" s="827"/>
      <c r="CV79" s="827"/>
      <c r="CW79" s="827"/>
      <c r="CX79" s="827"/>
      <c r="CY79" s="827"/>
      <c r="CZ79" s="827"/>
      <c r="DA79" s="827"/>
      <c r="DB79" s="827"/>
      <c r="DC79" s="827"/>
      <c r="DD79" s="827"/>
      <c r="DE79" s="827"/>
      <c r="DF79" s="827"/>
      <c r="DG79" s="827"/>
      <c r="DH79" s="827"/>
      <c r="DI79" s="827"/>
      <c r="DJ79" s="827"/>
      <c r="DK79" s="827"/>
      <c r="DL79" s="827"/>
      <c r="DM79" s="827"/>
      <c r="DN79" s="827"/>
      <c r="DO79" s="827"/>
      <c r="DP79" s="827"/>
      <c r="DQ79" s="827"/>
      <c r="DR79" s="827"/>
      <c r="DS79" s="827"/>
      <c r="DT79" s="827"/>
      <c r="DU79" s="827"/>
      <c r="DV79" s="827"/>
      <c r="DW79" s="827"/>
      <c r="DX79" s="827"/>
      <c r="DY79" s="827"/>
      <c r="DZ79" s="827"/>
      <c r="EA79" s="827"/>
      <c r="EB79" s="827"/>
      <c r="EC79" s="827"/>
      <c r="ED79" s="827"/>
      <c r="EE79" s="827"/>
      <c r="EF79" s="827"/>
      <c r="EG79" s="827"/>
      <c r="EH79" s="827"/>
      <c r="EI79" s="827"/>
      <c r="EJ79" s="827"/>
      <c r="EK79" s="827"/>
      <c r="EL79" s="827"/>
      <c r="EM79" s="827"/>
      <c r="EN79" s="827"/>
      <c r="EO79" s="827"/>
      <c r="EP79" s="827"/>
      <c r="EQ79" s="827"/>
      <c r="ER79" s="827"/>
      <c r="ES79" s="827"/>
      <c r="ET79" s="827"/>
      <c r="EU79" s="827"/>
      <c r="EV79" s="827"/>
      <c r="EW79" s="827"/>
      <c r="EX79" s="827"/>
      <c r="EY79" s="827"/>
      <c r="EZ79" s="827"/>
      <c r="FA79" s="827"/>
      <c r="FB79" s="827"/>
      <c r="FC79" s="827"/>
      <c r="FD79" s="827"/>
      <c r="FE79" s="827"/>
      <c r="FF79" s="827"/>
      <c r="FG79" s="827"/>
      <c r="FH79" s="827"/>
      <c r="FI79" s="827"/>
      <c r="FJ79" s="827"/>
      <c r="FK79" s="827"/>
      <c r="FL79" s="827"/>
      <c r="FM79" s="827"/>
      <c r="FN79" s="827"/>
      <c r="FO79" s="827"/>
      <c r="FP79" s="827"/>
      <c r="FQ79" s="827"/>
      <c r="FR79" s="827"/>
      <c r="FS79" s="827"/>
      <c r="FT79" s="827"/>
      <c r="FU79" s="827"/>
      <c r="FV79" s="827"/>
      <c r="FW79" s="827"/>
      <c r="FX79" s="827"/>
      <c r="FY79" s="827"/>
      <c r="FZ79" s="827"/>
      <c r="GA79" s="827"/>
      <c r="GB79" s="827"/>
      <c r="GC79" s="827"/>
      <c r="GD79" s="827"/>
      <c r="GE79" s="827"/>
      <c r="GF79" s="827"/>
      <c r="GG79" s="827"/>
      <c r="GH79" s="827"/>
      <c r="GI79" s="827"/>
      <c r="GJ79" s="827"/>
      <c r="GK79" s="827"/>
      <c r="GL79" s="827"/>
      <c r="GM79" s="827"/>
      <c r="GN79" s="827"/>
      <c r="GO79" s="827"/>
      <c r="GP79" s="827"/>
      <c r="GQ79" s="827"/>
      <c r="GR79" s="827"/>
      <c r="GS79" s="827"/>
      <c r="GT79" s="827"/>
      <c r="GU79" s="827"/>
      <c r="GV79" s="827"/>
      <c r="GW79" s="827"/>
      <c r="GX79" s="827"/>
      <c r="GY79" s="827"/>
      <c r="GZ79" s="827"/>
      <c r="HA79" s="827"/>
      <c r="HB79" s="827"/>
      <c r="HC79" s="827"/>
      <c r="HD79" s="828"/>
      <c r="HE79" s="827"/>
      <c r="HF79" s="827"/>
      <c r="HG79" s="829">
        <v>4.25</v>
      </c>
    </row>
    <row r="80" spans="1:215" ht="12.75" x14ac:dyDescent="0.2">
      <c r="A80" s="463" t="s">
        <v>125</v>
      </c>
      <c r="B80" s="827"/>
      <c r="C80" s="827"/>
      <c r="D80" s="827"/>
      <c r="E80" s="827"/>
      <c r="F80" s="827"/>
      <c r="G80" s="827"/>
      <c r="H80" s="827"/>
      <c r="I80" s="827"/>
      <c r="J80" s="827"/>
      <c r="K80" s="827"/>
      <c r="L80" s="827"/>
      <c r="M80" s="827"/>
      <c r="N80" s="827"/>
      <c r="O80" s="827"/>
      <c r="P80" s="827"/>
      <c r="Q80" s="827"/>
      <c r="R80" s="827"/>
      <c r="S80" s="827"/>
      <c r="T80" s="827"/>
      <c r="U80" s="827"/>
      <c r="V80" s="827"/>
      <c r="W80" s="827"/>
      <c r="X80" s="827"/>
      <c r="Y80" s="827"/>
      <c r="Z80" s="827"/>
      <c r="AA80" s="827"/>
      <c r="AB80" s="827"/>
      <c r="AC80" s="827">
        <v>0.75</v>
      </c>
      <c r="AD80" s="827">
        <v>0.75</v>
      </c>
      <c r="AE80" s="827">
        <v>0.75</v>
      </c>
      <c r="AF80" s="827"/>
      <c r="AG80" s="827"/>
      <c r="AH80" s="827"/>
      <c r="AI80" s="827"/>
      <c r="AJ80" s="827"/>
      <c r="AK80" s="827"/>
      <c r="AL80" s="827"/>
      <c r="AM80" s="827"/>
      <c r="AN80" s="827"/>
      <c r="AO80" s="827"/>
      <c r="AP80" s="827"/>
      <c r="AQ80" s="827"/>
      <c r="AR80" s="827"/>
      <c r="AS80" s="827"/>
      <c r="AT80" s="827"/>
      <c r="AU80" s="827"/>
      <c r="AV80" s="827"/>
      <c r="AW80" s="827"/>
      <c r="AX80" s="827"/>
      <c r="AY80" s="827"/>
      <c r="AZ80" s="827"/>
      <c r="BA80" s="827"/>
      <c r="BB80" s="827"/>
      <c r="BC80" s="827"/>
      <c r="BD80" s="827"/>
      <c r="BE80" s="827"/>
      <c r="BF80" s="827"/>
      <c r="BG80" s="827"/>
      <c r="BH80" s="827"/>
      <c r="BI80" s="827"/>
      <c r="BJ80" s="827"/>
      <c r="BK80" s="827"/>
      <c r="BL80" s="827"/>
      <c r="BM80" s="827"/>
      <c r="BN80" s="827"/>
      <c r="BO80" s="827"/>
      <c r="BP80" s="827"/>
      <c r="BQ80" s="827"/>
      <c r="BR80" s="827"/>
      <c r="BS80" s="827"/>
      <c r="BT80" s="827"/>
      <c r="BU80" s="827"/>
      <c r="BV80" s="827"/>
      <c r="BW80" s="827"/>
      <c r="BX80" s="827"/>
      <c r="BY80" s="827"/>
      <c r="BZ80" s="827"/>
      <c r="CA80" s="827"/>
      <c r="CB80" s="827"/>
      <c r="CC80" s="827"/>
      <c r="CD80" s="827"/>
      <c r="CE80" s="827"/>
      <c r="CF80" s="827"/>
      <c r="CG80" s="827"/>
      <c r="CH80" s="827"/>
      <c r="CI80" s="827"/>
      <c r="CJ80" s="827"/>
      <c r="CK80" s="827"/>
      <c r="CL80" s="827"/>
      <c r="CM80" s="827"/>
      <c r="CN80" s="827"/>
      <c r="CO80" s="827"/>
      <c r="CP80" s="827"/>
      <c r="CQ80" s="827"/>
      <c r="CR80" s="827"/>
      <c r="CS80" s="827"/>
      <c r="CT80" s="827"/>
      <c r="CU80" s="827"/>
      <c r="CV80" s="827"/>
      <c r="CW80" s="827"/>
      <c r="CX80" s="827"/>
      <c r="CY80" s="827"/>
      <c r="CZ80" s="827"/>
      <c r="DA80" s="827"/>
      <c r="DB80" s="827"/>
      <c r="DC80" s="827"/>
      <c r="DD80" s="827"/>
      <c r="DE80" s="827"/>
      <c r="DF80" s="827"/>
      <c r="DG80" s="827"/>
      <c r="DH80" s="827"/>
      <c r="DI80" s="827"/>
      <c r="DJ80" s="827"/>
      <c r="DK80" s="827"/>
      <c r="DL80" s="827"/>
      <c r="DM80" s="827"/>
      <c r="DN80" s="827"/>
      <c r="DO80" s="827"/>
      <c r="DP80" s="827"/>
      <c r="DQ80" s="827"/>
      <c r="DR80" s="827"/>
      <c r="DS80" s="827"/>
      <c r="DT80" s="827"/>
      <c r="DU80" s="827"/>
      <c r="DV80" s="827"/>
      <c r="DW80" s="827"/>
      <c r="DX80" s="827"/>
      <c r="DY80" s="827"/>
      <c r="DZ80" s="827"/>
      <c r="EA80" s="827"/>
      <c r="EB80" s="827"/>
      <c r="EC80" s="827"/>
      <c r="ED80" s="827"/>
      <c r="EE80" s="827"/>
      <c r="EF80" s="827"/>
      <c r="EG80" s="827"/>
      <c r="EH80" s="827"/>
      <c r="EI80" s="827"/>
      <c r="EJ80" s="827"/>
      <c r="EK80" s="827"/>
      <c r="EL80" s="827"/>
      <c r="EM80" s="827"/>
      <c r="EN80" s="827"/>
      <c r="EO80" s="827"/>
      <c r="EP80" s="827"/>
      <c r="EQ80" s="827"/>
      <c r="ER80" s="827"/>
      <c r="ES80" s="827"/>
      <c r="ET80" s="827"/>
      <c r="EU80" s="827"/>
      <c r="EV80" s="827"/>
      <c r="EW80" s="827"/>
      <c r="EX80" s="827"/>
      <c r="EY80" s="827"/>
      <c r="EZ80" s="827"/>
      <c r="FA80" s="827"/>
      <c r="FB80" s="827"/>
      <c r="FC80" s="827"/>
      <c r="FD80" s="827"/>
      <c r="FE80" s="827"/>
      <c r="FF80" s="827"/>
      <c r="FG80" s="827"/>
      <c r="FH80" s="827"/>
      <c r="FI80" s="827"/>
      <c r="FJ80" s="827"/>
      <c r="FK80" s="827"/>
      <c r="FL80" s="827"/>
      <c r="FM80" s="827"/>
      <c r="FN80" s="827"/>
      <c r="FO80" s="827"/>
      <c r="FP80" s="827"/>
      <c r="FQ80" s="827"/>
      <c r="FR80" s="827"/>
      <c r="FS80" s="827"/>
      <c r="FT80" s="827"/>
      <c r="FU80" s="827"/>
      <c r="FV80" s="827"/>
      <c r="FW80" s="827"/>
      <c r="FX80" s="827"/>
      <c r="FY80" s="827"/>
      <c r="FZ80" s="827"/>
      <c r="GA80" s="827"/>
      <c r="GB80" s="827"/>
      <c r="GC80" s="827"/>
      <c r="GD80" s="827"/>
      <c r="GE80" s="827"/>
      <c r="GF80" s="827"/>
      <c r="GG80" s="827"/>
      <c r="GH80" s="827"/>
      <c r="GI80" s="827"/>
      <c r="GJ80" s="827"/>
      <c r="GK80" s="827"/>
      <c r="GL80" s="827"/>
      <c r="GM80" s="827"/>
      <c r="GN80" s="827"/>
      <c r="GO80" s="827"/>
      <c r="GP80" s="827"/>
      <c r="GQ80" s="827"/>
      <c r="GR80" s="827"/>
      <c r="GS80" s="827"/>
      <c r="GT80" s="827"/>
      <c r="GU80" s="827"/>
      <c r="GV80" s="827"/>
      <c r="GW80" s="827"/>
      <c r="GX80" s="827"/>
      <c r="GY80" s="827"/>
      <c r="GZ80" s="827"/>
      <c r="HA80" s="827"/>
      <c r="HB80" s="827"/>
      <c r="HC80" s="827"/>
      <c r="HD80" s="828"/>
      <c r="HE80" s="827"/>
      <c r="HF80" s="827"/>
      <c r="HG80" s="829">
        <v>0.75</v>
      </c>
    </row>
    <row r="81" spans="1:215" ht="12.75" x14ac:dyDescent="0.2">
      <c r="A81" s="463" t="s">
        <v>121</v>
      </c>
      <c r="B81" s="827"/>
      <c r="C81" s="827"/>
      <c r="D81" s="827"/>
      <c r="E81" s="827"/>
      <c r="F81" s="827"/>
      <c r="G81" s="827"/>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7"/>
      <c r="BA81" s="827"/>
      <c r="BB81" s="827"/>
      <c r="BC81" s="827"/>
      <c r="BD81" s="827"/>
      <c r="BE81" s="827"/>
      <c r="BF81" s="827"/>
      <c r="BG81" s="827"/>
      <c r="BH81" s="827"/>
      <c r="BI81" s="827"/>
      <c r="BJ81" s="827"/>
      <c r="BK81" s="827"/>
      <c r="BL81" s="827"/>
      <c r="BM81" s="827"/>
      <c r="BN81" s="827"/>
      <c r="BO81" s="827"/>
      <c r="BP81" s="827"/>
      <c r="BQ81" s="827"/>
      <c r="BR81" s="827"/>
      <c r="BS81" s="827"/>
      <c r="BT81" s="827"/>
      <c r="BU81" s="827"/>
      <c r="BV81" s="827"/>
      <c r="BW81" s="827"/>
      <c r="BX81" s="827"/>
      <c r="BY81" s="827"/>
      <c r="BZ81" s="827"/>
      <c r="CA81" s="827"/>
      <c r="CB81" s="827"/>
      <c r="CC81" s="827"/>
      <c r="CD81" s="827"/>
      <c r="CE81" s="827"/>
      <c r="CF81" s="827"/>
      <c r="CG81" s="827"/>
      <c r="CH81" s="827"/>
      <c r="CI81" s="827"/>
      <c r="CJ81" s="827"/>
      <c r="CK81" s="827"/>
      <c r="CL81" s="827"/>
      <c r="CM81" s="827"/>
      <c r="CN81" s="827"/>
      <c r="CO81" s="827"/>
      <c r="CP81" s="827"/>
      <c r="CQ81" s="827"/>
      <c r="CR81" s="827"/>
      <c r="CS81" s="827"/>
      <c r="CT81" s="827"/>
      <c r="CU81" s="827"/>
      <c r="CV81" s="827"/>
      <c r="CW81" s="827"/>
      <c r="CX81" s="827"/>
      <c r="CY81" s="827"/>
      <c r="CZ81" s="827"/>
      <c r="DA81" s="827"/>
      <c r="DB81" s="827"/>
      <c r="DC81" s="827"/>
      <c r="DD81" s="827"/>
      <c r="DE81" s="827"/>
      <c r="DF81" s="827"/>
      <c r="DG81" s="827"/>
      <c r="DH81" s="827"/>
      <c r="DI81" s="827"/>
      <c r="DJ81" s="827"/>
      <c r="DK81" s="827"/>
      <c r="DL81" s="827"/>
      <c r="DM81" s="827"/>
      <c r="DN81" s="827"/>
      <c r="DO81" s="827"/>
      <c r="DP81" s="827"/>
      <c r="DQ81" s="827"/>
      <c r="DR81" s="827"/>
      <c r="DS81" s="827"/>
      <c r="DT81" s="827"/>
      <c r="DU81" s="827"/>
      <c r="DV81" s="827"/>
      <c r="DW81" s="827"/>
      <c r="DX81" s="827"/>
      <c r="DY81" s="827"/>
      <c r="DZ81" s="827"/>
      <c r="EA81" s="827"/>
      <c r="EB81" s="827"/>
      <c r="EC81" s="827"/>
      <c r="ED81" s="827"/>
      <c r="EE81" s="827"/>
      <c r="EF81" s="827"/>
      <c r="EG81" s="827"/>
      <c r="EH81" s="827"/>
      <c r="EI81" s="827"/>
      <c r="EJ81" s="827"/>
      <c r="EK81" s="827"/>
      <c r="EL81" s="827"/>
      <c r="EM81" s="827"/>
      <c r="EN81" s="827"/>
      <c r="EO81" s="827"/>
      <c r="EP81" s="827"/>
      <c r="EQ81" s="827"/>
      <c r="ER81" s="827"/>
      <c r="ES81" s="827"/>
      <c r="ET81" s="827"/>
      <c r="EU81" s="827"/>
      <c r="EV81" s="827"/>
      <c r="EW81" s="827"/>
      <c r="EX81" s="827"/>
      <c r="EY81" s="827"/>
      <c r="EZ81" s="827"/>
      <c r="FA81" s="827">
        <v>113.97462642974391</v>
      </c>
      <c r="FB81" s="827">
        <v>113.97462642974391</v>
      </c>
      <c r="FC81" s="827">
        <v>113.97462642974391</v>
      </c>
      <c r="FD81" s="827"/>
      <c r="FE81" s="827"/>
      <c r="FF81" s="827"/>
      <c r="FG81" s="827"/>
      <c r="FH81" s="827"/>
      <c r="FI81" s="827"/>
      <c r="FJ81" s="827"/>
      <c r="FK81" s="827"/>
      <c r="FL81" s="827"/>
      <c r="FM81" s="827"/>
      <c r="FN81" s="827"/>
      <c r="FO81" s="827"/>
      <c r="FP81" s="827"/>
      <c r="FQ81" s="827"/>
      <c r="FR81" s="827"/>
      <c r="FS81" s="827"/>
      <c r="FT81" s="827"/>
      <c r="FU81" s="827"/>
      <c r="FV81" s="827"/>
      <c r="FW81" s="827"/>
      <c r="FX81" s="827"/>
      <c r="FY81" s="827"/>
      <c r="FZ81" s="827"/>
      <c r="GA81" s="827"/>
      <c r="GB81" s="827"/>
      <c r="GC81" s="827"/>
      <c r="GD81" s="827"/>
      <c r="GE81" s="827"/>
      <c r="GF81" s="827"/>
      <c r="GG81" s="827"/>
      <c r="GH81" s="827"/>
      <c r="GI81" s="827"/>
      <c r="GJ81" s="827"/>
      <c r="GK81" s="827"/>
      <c r="GL81" s="827"/>
      <c r="GM81" s="827"/>
      <c r="GN81" s="827"/>
      <c r="GO81" s="827"/>
      <c r="GP81" s="827"/>
      <c r="GQ81" s="827"/>
      <c r="GR81" s="827"/>
      <c r="GS81" s="827"/>
      <c r="GT81" s="827"/>
      <c r="GU81" s="827"/>
      <c r="GV81" s="827"/>
      <c r="GW81" s="827"/>
      <c r="GX81" s="827"/>
      <c r="GY81" s="827"/>
      <c r="GZ81" s="827"/>
      <c r="HA81" s="827"/>
      <c r="HB81" s="827"/>
      <c r="HC81" s="827"/>
      <c r="HD81" s="828"/>
      <c r="HE81" s="827"/>
      <c r="HF81" s="827"/>
      <c r="HG81" s="829">
        <v>113.97462642974391</v>
      </c>
    </row>
    <row r="82" spans="1:215" ht="12.75" x14ac:dyDescent="0.2">
      <c r="A82" s="463" t="s">
        <v>120</v>
      </c>
      <c r="B82" s="827"/>
      <c r="C82" s="827"/>
      <c r="D82" s="827"/>
      <c r="E82" s="827"/>
      <c r="F82" s="827"/>
      <c r="G82" s="827"/>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7">
        <v>1.45</v>
      </c>
      <c r="BA82" s="827">
        <v>1.45</v>
      </c>
      <c r="BB82" s="827">
        <v>1.45</v>
      </c>
      <c r="BC82" s="827"/>
      <c r="BD82" s="827"/>
      <c r="BE82" s="827"/>
      <c r="BF82" s="827"/>
      <c r="BG82" s="827"/>
      <c r="BH82" s="827"/>
      <c r="BI82" s="827"/>
      <c r="BJ82" s="827"/>
      <c r="BK82" s="827"/>
      <c r="BL82" s="827"/>
      <c r="BM82" s="827"/>
      <c r="BN82" s="827"/>
      <c r="BO82" s="827"/>
      <c r="BP82" s="827"/>
      <c r="BQ82" s="827"/>
      <c r="BR82" s="827"/>
      <c r="BS82" s="827"/>
      <c r="BT82" s="827"/>
      <c r="BU82" s="827"/>
      <c r="BV82" s="827"/>
      <c r="BW82" s="827"/>
      <c r="BX82" s="827"/>
      <c r="BY82" s="827"/>
      <c r="BZ82" s="827"/>
      <c r="CA82" s="827"/>
      <c r="CB82" s="827"/>
      <c r="CC82" s="827"/>
      <c r="CD82" s="827"/>
      <c r="CE82" s="827"/>
      <c r="CF82" s="827"/>
      <c r="CG82" s="827"/>
      <c r="CH82" s="827"/>
      <c r="CI82" s="827"/>
      <c r="CJ82" s="827"/>
      <c r="CK82" s="827"/>
      <c r="CL82" s="827"/>
      <c r="CM82" s="827"/>
      <c r="CN82" s="827"/>
      <c r="CO82" s="827"/>
      <c r="CP82" s="827"/>
      <c r="CQ82" s="827"/>
      <c r="CR82" s="827"/>
      <c r="CS82" s="827"/>
      <c r="CT82" s="827"/>
      <c r="CU82" s="827"/>
      <c r="CV82" s="827"/>
      <c r="CW82" s="827"/>
      <c r="CX82" s="827"/>
      <c r="CY82" s="827"/>
      <c r="CZ82" s="827"/>
      <c r="DA82" s="827"/>
      <c r="DB82" s="827"/>
      <c r="DC82" s="827"/>
      <c r="DD82" s="827"/>
      <c r="DE82" s="827"/>
      <c r="DF82" s="827"/>
      <c r="DG82" s="827"/>
      <c r="DH82" s="827"/>
      <c r="DI82" s="827"/>
      <c r="DJ82" s="827"/>
      <c r="DK82" s="827"/>
      <c r="DL82" s="827"/>
      <c r="DM82" s="827"/>
      <c r="DN82" s="827"/>
      <c r="DO82" s="827"/>
      <c r="DP82" s="827"/>
      <c r="DQ82" s="827"/>
      <c r="DR82" s="827"/>
      <c r="DS82" s="827"/>
      <c r="DT82" s="827"/>
      <c r="DU82" s="827"/>
      <c r="DV82" s="827"/>
      <c r="DW82" s="827"/>
      <c r="DX82" s="827"/>
      <c r="DY82" s="827"/>
      <c r="DZ82" s="827"/>
      <c r="EA82" s="827"/>
      <c r="EB82" s="827"/>
      <c r="EC82" s="827"/>
      <c r="ED82" s="827"/>
      <c r="EE82" s="827"/>
      <c r="EF82" s="827"/>
      <c r="EG82" s="827"/>
      <c r="EH82" s="827"/>
      <c r="EI82" s="827"/>
      <c r="EJ82" s="827"/>
      <c r="EK82" s="827"/>
      <c r="EL82" s="827"/>
      <c r="EM82" s="827"/>
      <c r="EN82" s="827"/>
      <c r="EO82" s="827"/>
      <c r="EP82" s="827"/>
      <c r="EQ82" s="827"/>
      <c r="ER82" s="827"/>
      <c r="ES82" s="827"/>
      <c r="ET82" s="827"/>
      <c r="EU82" s="827"/>
      <c r="EV82" s="827"/>
      <c r="EW82" s="827"/>
      <c r="EX82" s="827"/>
      <c r="EY82" s="827"/>
      <c r="EZ82" s="827"/>
      <c r="FA82" s="827"/>
      <c r="FB82" s="827"/>
      <c r="FC82" s="827"/>
      <c r="FD82" s="827"/>
      <c r="FE82" s="827"/>
      <c r="FF82" s="827"/>
      <c r="FG82" s="827"/>
      <c r="FH82" s="827"/>
      <c r="FI82" s="827"/>
      <c r="FJ82" s="827"/>
      <c r="FK82" s="827"/>
      <c r="FL82" s="827"/>
      <c r="FM82" s="827"/>
      <c r="FN82" s="827"/>
      <c r="FO82" s="827"/>
      <c r="FP82" s="827"/>
      <c r="FQ82" s="827"/>
      <c r="FR82" s="827"/>
      <c r="FS82" s="827"/>
      <c r="FT82" s="827"/>
      <c r="FU82" s="827"/>
      <c r="FV82" s="827"/>
      <c r="FW82" s="827"/>
      <c r="FX82" s="827"/>
      <c r="FY82" s="827"/>
      <c r="FZ82" s="827"/>
      <c r="GA82" s="827"/>
      <c r="GB82" s="827"/>
      <c r="GC82" s="827"/>
      <c r="GD82" s="827"/>
      <c r="GE82" s="827"/>
      <c r="GF82" s="827"/>
      <c r="GG82" s="827"/>
      <c r="GH82" s="827"/>
      <c r="GI82" s="827"/>
      <c r="GJ82" s="827"/>
      <c r="GK82" s="827"/>
      <c r="GL82" s="827"/>
      <c r="GM82" s="827"/>
      <c r="GN82" s="827"/>
      <c r="GO82" s="827"/>
      <c r="GP82" s="827"/>
      <c r="GQ82" s="827"/>
      <c r="GR82" s="827"/>
      <c r="GS82" s="827"/>
      <c r="GT82" s="827"/>
      <c r="GU82" s="827"/>
      <c r="GV82" s="827"/>
      <c r="GW82" s="827"/>
      <c r="GX82" s="827"/>
      <c r="GY82" s="827"/>
      <c r="GZ82" s="827"/>
      <c r="HA82" s="827"/>
      <c r="HB82" s="827"/>
      <c r="HC82" s="827"/>
      <c r="HD82" s="828"/>
      <c r="HE82" s="827"/>
      <c r="HF82" s="827"/>
      <c r="HG82" s="829">
        <v>1.45</v>
      </c>
    </row>
    <row r="83" spans="1:215" ht="12.75" x14ac:dyDescent="0.2">
      <c r="A83" s="463" t="s">
        <v>83</v>
      </c>
      <c r="B83" s="827"/>
      <c r="C83" s="827"/>
      <c r="D83" s="827"/>
      <c r="E83" s="827"/>
      <c r="F83" s="827"/>
      <c r="G83" s="827"/>
      <c r="H83" s="827">
        <v>0.22500000000000001</v>
      </c>
      <c r="I83" s="827">
        <v>0.22500000000000001</v>
      </c>
      <c r="J83" s="827">
        <v>0.22500000000000001</v>
      </c>
      <c r="K83" s="827"/>
      <c r="L83" s="827"/>
      <c r="M83" s="827"/>
      <c r="N83" s="827"/>
      <c r="O83" s="827"/>
      <c r="P83" s="827"/>
      <c r="Q83" s="827"/>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7"/>
      <c r="BA83" s="827"/>
      <c r="BB83" s="827"/>
      <c r="BC83" s="827"/>
      <c r="BD83" s="827"/>
      <c r="BE83" s="827"/>
      <c r="BF83" s="827"/>
      <c r="BG83" s="827"/>
      <c r="BH83" s="827"/>
      <c r="BI83" s="827"/>
      <c r="BJ83" s="827"/>
      <c r="BK83" s="827"/>
      <c r="BL83" s="827"/>
      <c r="BM83" s="827"/>
      <c r="BN83" s="827"/>
      <c r="BO83" s="827"/>
      <c r="BP83" s="827"/>
      <c r="BQ83" s="827"/>
      <c r="BR83" s="827"/>
      <c r="BS83" s="827"/>
      <c r="BT83" s="827"/>
      <c r="BU83" s="827"/>
      <c r="BV83" s="827"/>
      <c r="BW83" s="827"/>
      <c r="BX83" s="827"/>
      <c r="BY83" s="827"/>
      <c r="BZ83" s="827"/>
      <c r="CA83" s="827"/>
      <c r="CB83" s="827"/>
      <c r="CC83" s="827"/>
      <c r="CD83" s="827"/>
      <c r="CE83" s="827"/>
      <c r="CF83" s="827"/>
      <c r="CG83" s="827"/>
      <c r="CH83" s="827"/>
      <c r="CI83" s="827"/>
      <c r="CJ83" s="827"/>
      <c r="CK83" s="827"/>
      <c r="CL83" s="827"/>
      <c r="CM83" s="827"/>
      <c r="CN83" s="827"/>
      <c r="CO83" s="827"/>
      <c r="CP83" s="827"/>
      <c r="CQ83" s="827"/>
      <c r="CR83" s="827"/>
      <c r="CS83" s="827"/>
      <c r="CT83" s="827"/>
      <c r="CU83" s="827"/>
      <c r="CV83" s="827"/>
      <c r="CW83" s="827"/>
      <c r="CX83" s="827"/>
      <c r="CY83" s="827"/>
      <c r="CZ83" s="827"/>
      <c r="DA83" s="827"/>
      <c r="DB83" s="827"/>
      <c r="DC83" s="827"/>
      <c r="DD83" s="827"/>
      <c r="DE83" s="827"/>
      <c r="DF83" s="827"/>
      <c r="DG83" s="827"/>
      <c r="DH83" s="827"/>
      <c r="DI83" s="827"/>
      <c r="DJ83" s="827"/>
      <c r="DK83" s="827"/>
      <c r="DL83" s="827"/>
      <c r="DM83" s="827"/>
      <c r="DN83" s="827"/>
      <c r="DO83" s="827"/>
      <c r="DP83" s="827"/>
      <c r="DQ83" s="827"/>
      <c r="DR83" s="827"/>
      <c r="DS83" s="827"/>
      <c r="DT83" s="827"/>
      <c r="DU83" s="827"/>
      <c r="DV83" s="827"/>
      <c r="DW83" s="827"/>
      <c r="DX83" s="827"/>
      <c r="DY83" s="827"/>
      <c r="DZ83" s="827"/>
      <c r="EA83" s="827"/>
      <c r="EB83" s="827"/>
      <c r="EC83" s="827"/>
      <c r="ED83" s="827"/>
      <c r="EE83" s="827"/>
      <c r="EF83" s="827"/>
      <c r="EG83" s="827"/>
      <c r="EH83" s="827"/>
      <c r="EI83" s="827"/>
      <c r="EJ83" s="827"/>
      <c r="EK83" s="827"/>
      <c r="EL83" s="827"/>
      <c r="EM83" s="827"/>
      <c r="EN83" s="827"/>
      <c r="EO83" s="827"/>
      <c r="EP83" s="827"/>
      <c r="EQ83" s="827"/>
      <c r="ER83" s="827"/>
      <c r="ES83" s="827"/>
      <c r="ET83" s="827"/>
      <c r="EU83" s="827"/>
      <c r="EV83" s="827"/>
      <c r="EW83" s="827"/>
      <c r="EX83" s="827"/>
      <c r="EY83" s="827"/>
      <c r="EZ83" s="827"/>
      <c r="FA83" s="827"/>
      <c r="FB83" s="827"/>
      <c r="FC83" s="827"/>
      <c r="FD83" s="827"/>
      <c r="FE83" s="827"/>
      <c r="FF83" s="827"/>
      <c r="FG83" s="827"/>
      <c r="FH83" s="827"/>
      <c r="FI83" s="827"/>
      <c r="FJ83" s="827"/>
      <c r="FK83" s="827"/>
      <c r="FL83" s="827"/>
      <c r="FM83" s="827"/>
      <c r="FN83" s="827"/>
      <c r="FO83" s="827"/>
      <c r="FP83" s="827"/>
      <c r="FQ83" s="827"/>
      <c r="FR83" s="827"/>
      <c r="FS83" s="827"/>
      <c r="FT83" s="827"/>
      <c r="FU83" s="827"/>
      <c r="FV83" s="827"/>
      <c r="FW83" s="827"/>
      <c r="FX83" s="827"/>
      <c r="FY83" s="827"/>
      <c r="FZ83" s="827"/>
      <c r="GA83" s="827"/>
      <c r="GB83" s="827"/>
      <c r="GC83" s="827"/>
      <c r="GD83" s="827"/>
      <c r="GE83" s="827"/>
      <c r="GF83" s="827"/>
      <c r="GG83" s="827"/>
      <c r="GH83" s="827"/>
      <c r="GI83" s="827"/>
      <c r="GJ83" s="827"/>
      <c r="GK83" s="827"/>
      <c r="GL83" s="827"/>
      <c r="GM83" s="827"/>
      <c r="GN83" s="827"/>
      <c r="GO83" s="827"/>
      <c r="GP83" s="827"/>
      <c r="GQ83" s="827"/>
      <c r="GR83" s="827"/>
      <c r="GS83" s="827"/>
      <c r="GT83" s="827"/>
      <c r="GU83" s="827"/>
      <c r="GV83" s="827"/>
      <c r="GW83" s="827"/>
      <c r="GX83" s="827"/>
      <c r="GY83" s="827"/>
      <c r="GZ83" s="827"/>
      <c r="HA83" s="827"/>
      <c r="HB83" s="827"/>
      <c r="HC83" s="827"/>
      <c r="HD83" s="828"/>
      <c r="HE83" s="827"/>
      <c r="HF83" s="827"/>
      <c r="HG83" s="829">
        <v>0.22500000000000001</v>
      </c>
    </row>
    <row r="84" spans="1:215" ht="12.75" x14ac:dyDescent="0.2">
      <c r="A84" s="463" t="s">
        <v>855</v>
      </c>
      <c r="B84" s="827"/>
      <c r="C84" s="827"/>
      <c r="D84" s="827"/>
      <c r="E84" s="827"/>
      <c r="F84" s="827"/>
      <c r="G84" s="827"/>
      <c r="H84" s="827"/>
      <c r="I84" s="827"/>
      <c r="J84" s="827"/>
      <c r="K84" s="827"/>
      <c r="L84" s="827"/>
      <c r="M84" s="827"/>
      <c r="N84" s="827"/>
      <c r="O84" s="827"/>
      <c r="P84" s="827"/>
      <c r="Q84" s="827"/>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7"/>
      <c r="BA84" s="827"/>
      <c r="BB84" s="827"/>
      <c r="BC84" s="827"/>
      <c r="BD84" s="827"/>
      <c r="BE84" s="827"/>
      <c r="BF84" s="827"/>
      <c r="BG84" s="827"/>
      <c r="BH84" s="827"/>
      <c r="BI84" s="827"/>
      <c r="BJ84" s="827"/>
      <c r="BK84" s="827"/>
      <c r="BL84" s="827"/>
      <c r="BM84" s="827"/>
      <c r="BN84" s="827"/>
      <c r="BO84" s="827"/>
      <c r="BP84" s="827"/>
      <c r="BQ84" s="827"/>
      <c r="BR84" s="827"/>
      <c r="BS84" s="827"/>
      <c r="BT84" s="827"/>
      <c r="BU84" s="827"/>
      <c r="BV84" s="827"/>
      <c r="BW84" s="827"/>
      <c r="BX84" s="827"/>
      <c r="BY84" s="827"/>
      <c r="BZ84" s="827"/>
      <c r="CA84" s="827"/>
      <c r="CB84" s="827"/>
      <c r="CC84" s="827"/>
      <c r="CD84" s="827"/>
      <c r="CE84" s="827"/>
      <c r="CF84" s="827"/>
      <c r="CG84" s="827"/>
      <c r="CH84" s="827"/>
      <c r="CI84" s="827"/>
      <c r="CJ84" s="827"/>
      <c r="CK84" s="827"/>
      <c r="CL84" s="827"/>
      <c r="CM84" s="827"/>
      <c r="CN84" s="827"/>
      <c r="CO84" s="827"/>
      <c r="CP84" s="827"/>
      <c r="CQ84" s="827"/>
      <c r="CR84" s="827"/>
      <c r="CS84" s="827"/>
      <c r="CT84" s="827"/>
      <c r="CU84" s="827"/>
      <c r="CV84" s="827"/>
      <c r="CW84" s="827"/>
      <c r="CX84" s="827"/>
      <c r="CY84" s="827"/>
      <c r="CZ84" s="827"/>
      <c r="DA84" s="827"/>
      <c r="DB84" s="827"/>
      <c r="DC84" s="827"/>
      <c r="DD84" s="827"/>
      <c r="DE84" s="827"/>
      <c r="DF84" s="827"/>
      <c r="DG84" s="827"/>
      <c r="DH84" s="827"/>
      <c r="DI84" s="827"/>
      <c r="DJ84" s="827"/>
      <c r="DK84" s="827"/>
      <c r="DL84" s="827"/>
      <c r="DM84" s="827"/>
      <c r="DN84" s="827"/>
      <c r="DO84" s="827"/>
      <c r="DP84" s="827"/>
      <c r="DQ84" s="827"/>
      <c r="DR84" s="827"/>
      <c r="DS84" s="827"/>
      <c r="DT84" s="827"/>
      <c r="DU84" s="827"/>
      <c r="DV84" s="827"/>
      <c r="DW84" s="827"/>
      <c r="DX84" s="827"/>
      <c r="DY84" s="827"/>
      <c r="DZ84" s="827"/>
      <c r="EA84" s="827"/>
      <c r="EB84" s="827"/>
      <c r="EC84" s="827"/>
      <c r="ED84" s="827"/>
      <c r="EE84" s="827"/>
      <c r="EF84" s="827"/>
      <c r="EG84" s="827"/>
      <c r="EH84" s="827"/>
      <c r="EI84" s="827"/>
      <c r="EJ84" s="827"/>
      <c r="EK84" s="827"/>
      <c r="EL84" s="827"/>
      <c r="EM84" s="827"/>
      <c r="EN84" s="827"/>
      <c r="EO84" s="827"/>
      <c r="EP84" s="827"/>
      <c r="EQ84" s="827"/>
      <c r="ER84" s="827"/>
      <c r="ES84" s="827"/>
      <c r="ET84" s="827"/>
      <c r="EU84" s="827"/>
      <c r="EV84" s="827"/>
      <c r="EW84" s="827"/>
      <c r="EX84" s="827"/>
      <c r="EY84" s="827"/>
      <c r="EZ84" s="827"/>
      <c r="FA84" s="827"/>
      <c r="FB84" s="827"/>
      <c r="FC84" s="827"/>
      <c r="FD84" s="827"/>
      <c r="FE84" s="827"/>
      <c r="FF84" s="827"/>
      <c r="FG84" s="827"/>
      <c r="FH84" s="827"/>
      <c r="FI84" s="827"/>
      <c r="FJ84" s="827"/>
      <c r="FK84" s="827"/>
      <c r="FL84" s="827"/>
      <c r="FM84" s="827"/>
      <c r="FN84" s="827"/>
      <c r="FO84" s="827"/>
      <c r="FP84" s="827"/>
      <c r="FQ84" s="827"/>
      <c r="FR84" s="827"/>
      <c r="FS84" s="827"/>
      <c r="FT84" s="827"/>
      <c r="FU84" s="827"/>
      <c r="FV84" s="827"/>
      <c r="FW84" s="827"/>
      <c r="FX84" s="827"/>
      <c r="FY84" s="827"/>
      <c r="FZ84" s="827"/>
      <c r="GA84" s="827"/>
      <c r="GB84" s="827"/>
      <c r="GC84" s="827"/>
      <c r="GD84" s="827"/>
      <c r="GE84" s="827"/>
      <c r="GF84" s="827"/>
      <c r="GG84" s="827"/>
      <c r="GH84" s="827"/>
      <c r="GI84" s="827"/>
      <c r="GJ84" s="827"/>
      <c r="GK84" s="827"/>
      <c r="GL84" s="827"/>
      <c r="GM84" s="827"/>
      <c r="GN84" s="827"/>
      <c r="GO84" s="827"/>
      <c r="GP84" s="827"/>
      <c r="GQ84" s="827"/>
      <c r="GR84" s="827"/>
      <c r="GS84" s="827"/>
      <c r="GT84" s="827"/>
      <c r="GU84" s="827"/>
      <c r="GV84" s="827"/>
      <c r="GW84" s="827"/>
      <c r="GX84" s="827"/>
      <c r="GY84" s="827"/>
      <c r="GZ84" s="827">
        <v>0</v>
      </c>
      <c r="HA84" s="827">
        <v>0</v>
      </c>
      <c r="HB84" s="827">
        <v>0</v>
      </c>
      <c r="HC84" s="827"/>
      <c r="HD84" s="828"/>
      <c r="HE84" s="827"/>
      <c r="HF84" s="827"/>
      <c r="HG84" s="829">
        <v>0</v>
      </c>
    </row>
    <row r="85" spans="1:215" ht="12.75" x14ac:dyDescent="0.2">
      <c r="A85" s="464" t="s">
        <v>307</v>
      </c>
      <c r="B85" s="830">
        <v>-0.56719994382919481</v>
      </c>
      <c r="C85" s="830">
        <v>-0.56719994382919481</v>
      </c>
      <c r="D85" s="830">
        <v>-0.56719994382919481</v>
      </c>
      <c r="E85" s="830">
        <v>3.5000000000000003E-2</v>
      </c>
      <c r="F85" s="830">
        <v>3.5000000000000003E-2</v>
      </c>
      <c r="G85" s="830">
        <v>3.5000000000000003E-2</v>
      </c>
      <c r="H85" s="830">
        <v>0.22500000000000001</v>
      </c>
      <c r="I85" s="830">
        <v>0.22500000000000001</v>
      </c>
      <c r="J85" s="830">
        <v>0.22500000000000001</v>
      </c>
      <c r="K85" s="830">
        <v>0.25</v>
      </c>
      <c r="L85" s="830">
        <v>0.25</v>
      </c>
      <c r="M85" s="830">
        <v>0.25</v>
      </c>
      <c r="N85" s="830">
        <v>0.26250000000000001</v>
      </c>
      <c r="O85" s="830">
        <v>0.26250000000000001</v>
      </c>
      <c r="P85" s="830">
        <v>0.26250000000000001</v>
      </c>
      <c r="Q85" s="830">
        <v>0.3</v>
      </c>
      <c r="R85" s="830">
        <v>0.3</v>
      </c>
      <c r="S85" s="830">
        <v>0.3</v>
      </c>
      <c r="T85" s="830">
        <v>0.33333333333333331</v>
      </c>
      <c r="U85" s="830">
        <v>0.33333333333333331</v>
      </c>
      <c r="V85" s="830">
        <v>0.33333333333333331</v>
      </c>
      <c r="W85" s="830">
        <v>2.5499999999999998</v>
      </c>
      <c r="X85" s="830">
        <v>2.5499999999999998</v>
      </c>
      <c r="Y85" s="830">
        <v>2.5499999999999998</v>
      </c>
      <c r="Z85" s="830">
        <v>0.5</v>
      </c>
      <c r="AA85" s="830">
        <v>0.5</v>
      </c>
      <c r="AB85" s="830">
        <v>0.5</v>
      </c>
      <c r="AC85" s="830">
        <v>0.75</v>
      </c>
      <c r="AD85" s="830">
        <v>0.75</v>
      </c>
      <c r="AE85" s="830">
        <v>0.75</v>
      </c>
      <c r="AF85" s="830">
        <v>0.78537500000000005</v>
      </c>
      <c r="AG85" s="830">
        <v>0.78537500000000005</v>
      </c>
      <c r="AH85" s="830">
        <v>0.78537500000000005</v>
      </c>
      <c r="AI85" s="830">
        <v>0.875</v>
      </c>
      <c r="AJ85" s="830">
        <v>0.875</v>
      </c>
      <c r="AK85" s="830">
        <v>0.875</v>
      </c>
      <c r="AL85" s="830">
        <v>1</v>
      </c>
      <c r="AM85" s="830">
        <v>1</v>
      </c>
      <c r="AN85" s="830">
        <v>1</v>
      </c>
      <c r="AO85" s="830">
        <v>1</v>
      </c>
      <c r="AP85" s="830">
        <v>2</v>
      </c>
      <c r="AQ85" s="830">
        <v>1.3851083073059156</v>
      </c>
      <c r="AR85" s="830">
        <v>1.3851083073059156</v>
      </c>
      <c r="AS85" s="830">
        <v>1.3851083073059156</v>
      </c>
      <c r="AT85" s="830">
        <v>1.4260000000000019</v>
      </c>
      <c r="AU85" s="830">
        <v>1.4260000000000019</v>
      </c>
      <c r="AV85" s="830">
        <v>1.4260000000000019</v>
      </c>
      <c r="AW85" s="830">
        <v>1.4269999999999978</v>
      </c>
      <c r="AX85" s="830">
        <v>1.4269999999999978</v>
      </c>
      <c r="AY85" s="830">
        <v>1.4269999999999978</v>
      </c>
      <c r="AZ85" s="830">
        <v>1.45</v>
      </c>
      <c r="BA85" s="830">
        <v>1.45</v>
      </c>
      <c r="BB85" s="830">
        <v>1.45</v>
      </c>
      <c r="BC85" s="830">
        <v>1.5</v>
      </c>
      <c r="BD85" s="830">
        <v>1.5</v>
      </c>
      <c r="BE85" s="830">
        <v>1.5</v>
      </c>
      <c r="BF85" s="830">
        <v>1.7070695530814692</v>
      </c>
      <c r="BG85" s="830">
        <v>1.7070695530814692</v>
      </c>
      <c r="BH85" s="830">
        <v>1.7070695530814692</v>
      </c>
      <c r="BI85" s="830">
        <v>1.8400000000000034</v>
      </c>
      <c r="BJ85" s="830">
        <v>1.8400000000000034</v>
      </c>
      <c r="BK85" s="830">
        <v>1.8400000000000034</v>
      </c>
      <c r="BL85" s="830">
        <v>1.8440000000000012</v>
      </c>
      <c r="BM85" s="830">
        <v>1.8440000000000012</v>
      </c>
      <c r="BN85" s="830">
        <v>1.8440000000000012</v>
      </c>
      <c r="BO85" s="830">
        <v>2.1749999999999972</v>
      </c>
      <c r="BP85" s="830">
        <v>2.1749999999999972</v>
      </c>
      <c r="BQ85" s="830">
        <v>2.1749999999999972</v>
      </c>
      <c r="BR85" s="830">
        <v>2.625</v>
      </c>
      <c r="BS85" s="830">
        <v>2.625</v>
      </c>
      <c r="BT85" s="830">
        <v>2.625</v>
      </c>
      <c r="BU85" s="830">
        <v>3.5</v>
      </c>
      <c r="BV85" s="830">
        <v>3.5</v>
      </c>
      <c r="BW85" s="830">
        <v>3.5</v>
      </c>
      <c r="BX85" s="830">
        <v>3.625</v>
      </c>
      <c r="BY85" s="830">
        <v>3.625</v>
      </c>
      <c r="BZ85" s="830">
        <v>3.625</v>
      </c>
      <c r="CA85" s="830">
        <v>8.5</v>
      </c>
      <c r="CB85" s="830">
        <v>8.5</v>
      </c>
      <c r="CC85" s="830">
        <v>8.5</v>
      </c>
      <c r="CD85" s="830">
        <v>4.625</v>
      </c>
      <c r="CE85" s="830">
        <v>4.625</v>
      </c>
      <c r="CF85" s="830">
        <v>4.625</v>
      </c>
      <c r="CG85" s="830">
        <v>6.6</v>
      </c>
      <c r="CH85" s="830">
        <v>6.6</v>
      </c>
      <c r="CI85" s="830">
        <v>6.6</v>
      </c>
      <c r="CJ85" s="830">
        <v>8.44</v>
      </c>
      <c r="CK85" s="830">
        <v>8.44</v>
      </c>
      <c r="CL85" s="830">
        <v>8.44</v>
      </c>
      <c r="CM85" s="830">
        <v>10.284000000000001</v>
      </c>
      <c r="CN85" s="830">
        <v>10.284000000000001</v>
      </c>
      <c r="CO85" s="830">
        <v>10.284000000000001</v>
      </c>
      <c r="CP85" s="830">
        <v>12.459</v>
      </c>
      <c r="CQ85" s="830">
        <v>12.459</v>
      </c>
      <c r="CR85" s="830">
        <v>12.459</v>
      </c>
      <c r="CS85" s="830">
        <v>13.885</v>
      </c>
      <c r="CT85" s="830">
        <v>13.885</v>
      </c>
      <c r="CU85" s="830">
        <v>13.885</v>
      </c>
      <c r="CV85" s="830">
        <v>14.629276256481079</v>
      </c>
      <c r="CW85" s="830">
        <v>14.629276256481079</v>
      </c>
      <c r="CX85" s="830">
        <v>14.629276256481079</v>
      </c>
      <c r="CY85" s="830">
        <v>15.311999999999999</v>
      </c>
      <c r="CZ85" s="830">
        <v>15.311999999999999</v>
      </c>
      <c r="DA85" s="830">
        <v>15.311999999999999</v>
      </c>
      <c r="DB85" s="830">
        <v>16.056276256481077</v>
      </c>
      <c r="DC85" s="830">
        <v>16.056276256481077</v>
      </c>
      <c r="DD85" s="830">
        <v>16.056276256481077</v>
      </c>
      <c r="DE85" s="830">
        <v>17.330301714933828</v>
      </c>
      <c r="DF85" s="830">
        <v>17.330301714933828</v>
      </c>
      <c r="DG85" s="830">
        <v>17.330301714933828</v>
      </c>
      <c r="DH85" s="830">
        <v>17.482276256481079</v>
      </c>
      <c r="DI85" s="830">
        <v>17.482276256481079</v>
      </c>
      <c r="DJ85" s="830">
        <v>17.482276256481079</v>
      </c>
      <c r="DK85" s="830">
        <v>19.657276256481076</v>
      </c>
      <c r="DL85" s="830">
        <v>19.657276256481076</v>
      </c>
      <c r="DM85" s="830">
        <v>19.657276256481076</v>
      </c>
      <c r="DN85" s="830">
        <v>21.501276256481077</v>
      </c>
      <c r="DO85" s="830">
        <v>21.501276256481077</v>
      </c>
      <c r="DP85" s="830">
        <v>21.501276256481077</v>
      </c>
      <c r="DQ85" s="830">
        <v>22.066276256481078</v>
      </c>
      <c r="DR85" s="830">
        <v>22.066276256481078</v>
      </c>
      <c r="DS85" s="830">
        <v>22.066276256481078</v>
      </c>
      <c r="DT85" s="830">
        <v>23.341276256481081</v>
      </c>
      <c r="DU85" s="830">
        <v>23.341276256481081</v>
      </c>
      <c r="DV85" s="830">
        <v>23.341276256481081</v>
      </c>
      <c r="DW85" s="830">
        <v>25.899609589814411</v>
      </c>
      <c r="DX85" s="830">
        <v>25.899609589814411</v>
      </c>
      <c r="DY85" s="830">
        <v>25.899609589814411</v>
      </c>
      <c r="DZ85" s="830">
        <v>31.441276256481078</v>
      </c>
      <c r="EA85" s="830">
        <v>31.441276256481078</v>
      </c>
      <c r="EB85" s="830">
        <v>31.441276256481078</v>
      </c>
      <c r="EC85" s="830">
        <v>41.5</v>
      </c>
      <c r="ED85" s="830">
        <v>41.5</v>
      </c>
      <c r="EE85" s="830">
        <v>41.5</v>
      </c>
      <c r="EF85" s="830">
        <v>41.5</v>
      </c>
      <c r="EG85" s="830">
        <v>83</v>
      </c>
      <c r="EH85" s="830">
        <v>46</v>
      </c>
      <c r="EI85" s="830">
        <v>46</v>
      </c>
      <c r="EJ85" s="830">
        <v>46</v>
      </c>
      <c r="EK85" s="830">
        <v>46</v>
      </c>
      <c r="EL85" s="830">
        <v>92</v>
      </c>
      <c r="EM85" s="830">
        <v>51.99</v>
      </c>
      <c r="EN85" s="830">
        <v>51.99</v>
      </c>
      <c r="EO85" s="830">
        <v>51.99</v>
      </c>
      <c r="EP85" s="830">
        <v>51.99</v>
      </c>
      <c r="EQ85" s="830">
        <v>51.99</v>
      </c>
      <c r="ER85" s="830">
        <v>51.99</v>
      </c>
      <c r="ES85" s="830">
        <v>155.97</v>
      </c>
      <c r="ET85" s="830">
        <v>57.99</v>
      </c>
      <c r="EU85" s="830">
        <v>57.99</v>
      </c>
      <c r="EV85" s="830">
        <v>57.99</v>
      </c>
      <c r="EW85" s="830">
        <v>57.99</v>
      </c>
      <c r="EX85" s="830">
        <v>57.99</v>
      </c>
      <c r="EY85" s="830">
        <v>57.99</v>
      </c>
      <c r="EZ85" s="830">
        <v>173.97</v>
      </c>
      <c r="FA85" s="830">
        <v>113.97462642974391</v>
      </c>
      <c r="FB85" s="830">
        <v>113.97462642974391</v>
      </c>
      <c r="FC85" s="830">
        <v>113.97462642974391</v>
      </c>
      <c r="FD85" s="830">
        <v>523.25113060119725</v>
      </c>
      <c r="FE85" s="830">
        <v>523.25113060119725</v>
      </c>
      <c r="FF85" s="830">
        <v>523.25113060119725</v>
      </c>
      <c r="FG85" s="830">
        <v>622.25396744416173</v>
      </c>
      <c r="FH85" s="830">
        <v>622.25396744416173</v>
      </c>
      <c r="FI85" s="830">
        <v>622.25396744416173</v>
      </c>
      <c r="FJ85" s="830">
        <v>698.45646286600777</v>
      </c>
      <c r="FK85" s="830">
        <v>698.45646286600777</v>
      </c>
      <c r="FL85" s="830">
        <v>698.45646286600777</v>
      </c>
      <c r="FM85" s="830">
        <v>783.99087196349853</v>
      </c>
      <c r="FN85" s="830">
        <v>783.99087196349853</v>
      </c>
      <c r="FO85" s="830">
        <v>783.99087196349853</v>
      </c>
      <c r="FP85" s="830">
        <v>830.60939515989025</v>
      </c>
      <c r="FQ85" s="830">
        <v>830.60939515989025</v>
      </c>
      <c r="FR85" s="830">
        <v>830.60939515989025</v>
      </c>
      <c r="FS85" s="830">
        <v>932.32752303617985</v>
      </c>
      <c r="FT85" s="830">
        <v>932.32752303617985</v>
      </c>
      <c r="FU85" s="830">
        <v>932.32752303617985</v>
      </c>
      <c r="FV85" s="830">
        <v>1046.5022612023947</v>
      </c>
      <c r="FW85" s="830">
        <v>1046.5022612023947</v>
      </c>
      <c r="FX85" s="830">
        <v>1046.5022612023947</v>
      </c>
      <c r="FY85" s="830">
        <v>0</v>
      </c>
      <c r="FZ85" s="830">
        <v>0</v>
      </c>
      <c r="GA85" s="830">
        <v>0</v>
      </c>
      <c r="GB85" s="830">
        <v>0</v>
      </c>
      <c r="GC85" s="830">
        <v>0</v>
      </c>
      <c r="GD85" s="830">
        <v>0</v>
      </c>
      <c r="GE85" s="830">
        <v>0</v>
      </c>
      <c r="GF85" s="830">
        <v>0</v>
      </c>
      <c r="GG85" s="830">
        <v>0</v>
      </c>
      <c r="GH85" s="830">
        <v>0</v>
      </c>
      <c r="GI85" s="830">
        <v>0</v>
      </c>
      <c r="GJ85" s="830">
        <v>0</v>
      </c>
      <c r="GK85" s="830">
        <v>0</v>
      </c>
      <c r="GL85" s="830">
        <v>0</v>
      </c>
      <c r="GM85" s="830">
        <v>0</v>
      </c>
      <c r="GN85" s="830">
        <v>0</v>
      </c>
      <c r="GO85" s="830">
        <v>0</v>
      </c>
      <c r="GP85" s="830">
        <v>0</v>
      </c>
      <c r="GQ85" s="830">
        <v>0</v>
      </c>
      <c r="GR85" s="830">
        <v>0</v>
      </c>
      <c r="GS85" s="830">
        <v>0</v>
      </c>
      <c r="GT85" s="830">
        <v>0</v>
      </c>
      <c r="GU85" s="830">
        <v>0</v>
      </c>
      <c r="GV85" s="830">
        <v>0</v>
      </c>
      <c r="GW85" s="830">
        <v>0</v>
      </c>
      <c r="GX85" s="830">
        <v>0</v>
      </c>
      <c r="GY85" s="830">
        <v>0</v>
      </c>
      <c r="GZ85" s="830">
        <v>0</v>
      </c>
      <c r="HA85" s="830">
        <v>0</v>
      </c>
      <c r="HB85" s="830">
        <v>0</v>
      </c>
      <c r="HC85" s="830"/>
      <c r="HD85" s="831"/>
      <c r="HE85" s="830"/>
      <c r="HF85" s="830"/>
      <c r="HG85" s="832">
        <v>6378.619546309561</v>
      </c>
    </row>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45C57-401C-4A5D-85C3-F6B3140615AF}">
  <dimension ref="A1:H146"/>
  <sheetViews>
    <sheetView workbookViewId="0">
      <pane ySplit="3" topLeftCell="A4" activePane="bottomLeft" state="frozen"/>
      <selection pane="bottomLeft"/>
    </sheetView>
  </sheetViews>
  <sheetFormatPr defaultRowHeight="12.75" x14ac:dyDescent="0.2"/>
  <cols>
    <col min="1" max="1" width="137.140625" customWidth="1"/>
    <col min="2" max="2" width="41.85546875" customWidth="1"/>
    <col min="3" max="3" width="38.140625" customWidth="1"/>
    <col min="4" max="4" width="45.7109375" customWidth="1"/>
    <col min="5" max="5" width="26.7109375" customWidth="1"/>
    <col min="6" max="7" width="19" customWidth="1"/>
    <col min="8" max="8" width="34.28515625" customWidth="1"/>
  </cols>
  <sheetData>
    <row r="1" spans="1:6" ht="18" x14ac:dyDescent="0.25">
      <c r="A1" s="470" t="s">
        <v>5669</v>
      </c>
    </row>
    <row r="2" spans="1:6" x14ac:dyDescent="0.2">
      <c r="A2" s="734" t="s">
        <v>5670</v>
      </c>
    </row>
    <row r="4" spans="1:6" ht="15" x14ac:dyDescent="0.25">
      <c r="A4" s="781" t="s">
        <v>5671</v>
      </c>
      <c r="B4" s="782"/>
      <c r="C4" s="782"/>
      <c r="D4" s="782"/>
      <c r="E4" s="782"/>
      <c r="F4" s="782"/>
    </row>
    <row r="5" spans="1:6" x14ac:dyDescent="0.2">
      <c r="A5" t="s">
        <v>5672</v>
      </c>
      <c r="B5" s="565">
        <v>10</v>
      </c>
      <c r="C5" t="s">
        <v>5673</v>
      </c>
    </row>
    <row r="6" spans="1:6" x14ac:dyDescent="0.2">
      <c r="A6" t="s">
        <v>5674</v>
      </c>
      <c r="B6" s="565">
        <v>12</v>
      </c>
    </row>
    <row r="7" spans="1:6" x14ac:dyDescent="0.2">
      <c r="A7" t="s">
        <v>3006</v>
      </c>
      <c r="B7" s="715">
        <v>0.3</v>
      </c>
      <c r="C7" t="s">
        <v>5675</v>
      </c>
    </row>
    <row r="8" spans="1:6" x14ac:dyDescent="0.2">
      <c r="A8" t="s">
        <v>5676</v>
      </c>
      <c r="B8" s="565">
        <v>3</v>
      </c>
      <c r="C8" t="s">
        <v>5677</v>
      </c>
    </row>
    <row r="9" spans="1:6" x14ac:dyDescent="0.2">
      <c r="A9" t="s">
        <v>5678</v>
      </c>
      <c r="B9" s="565">
        <v>2</v>
      </c>
      <c r="C9" t="s">
        <v>5679</v>
      </c>
    </row>
    <row r="10" spans="1:6" x14ac:dyDescent="0.2">
      <c r="A10" t="s">
        <v>5680</v>
      </c>
      <c r="B10" s="715">
        <v>0.7</v>
      </c>
      <c r="C10" t="s">
        <v>5681</v>
      </c>
    </row>
    <row r="11" spans="1:6" x14ac:dyDescent="0.2">
      <c r="A11" t="s">
        <v>5401</v>
      </c>
      <c r="B11" s="564" t="s">
        <v>5682</v>
      </c>
    </row>
    <row r="12" spans="1:6" x14ac:dyDescent="0.2">
      <c r="A12" t="s">
        <v>5683</v>
      </c>
      <c r="B12" s="783">
        <v>0.12</v>
      </c>
      <c r="C12" t="s">
        <v>5684</v>
      </c>
    </row>
    <row r="13" spans="1:6" x14ac:dyDescent="0.2">
      <c r="A13" t="s">
        <v>1457</v>
      </c>
      <c r="B13" s="662">
        <v>13510</v>
      </c>
      <c r="C13" t="s">
        <v>5685</v>
      </c>
    </row>
    <row r="15" spans="1:6" ht="15" x14ac:dyDescent="0.25">
      <c r="A15" s="764" t="s">
        <v>5686</v>
      </c>
      <c r="B15" s="765"/>
      <c r="C15" s="765"/>
      <c r="D15" s="765"/>
      <c r="E15" s="765"/>
      <c r="F15" s="765"/>
    </row>
    <row r="16" spans="1:6" x14ac:dyDescent="0.2">
      <c r="A16" t="s">
        <v>5687</v>
      </c>
      <c r="B16" s="662">
        <f>PI()/6*B5^2*B6*B10</f>
        <v>439.82297150257097</v>
      </c>
      <c r="C16" t="s">
        <v>5688</v>
      </c>
    </row>
    <row r="17" spans="1:8" x14ac:dyDescent="0.2">
      <c r="A17" t="s">
        <v>5689</v>
      </c>
      <c r="B17" s="469">
        <f>PI()*(B8/2)^2</f>
        <v>7.0685834705770345</v>
      </c>
    </row>
    <row r="18" spans="1:8" x14ac:dyDescent="0.2">
      <c r="A18" t="s">
        <v>5690</v>
      </c>
      <c r="B18" s="482">
        <f>B7+0.6*SQRT(B17/PI())</f>
        <v>1.2</v>
      </c>
      <c r="C18" t="s">
        <v>5691</v>
      </c>
    </row>
    <row r="19" spans="1:8" x14ac:dyDescent="0.2">
      <c r="A19" t="s">
        <v>5692</v>
      </c>
      <c r="B19" s="707">
        <f>(B13/(2*PI()))*SQRT(B17/(B16*B18))</f>
        <v>248.8353624879345</v>
      </c>
    </row>
    <row r="20" spans="1:8" ht="15.75" x14ac:dyDescent="0.25">
      <c r="A20" t="s">
        <v>5693</v>
      </c>
      <c r="B20" s="753" t="str">
        <f>CHOOSE(MOD(ROUND(12*LOG(B19/440,2)+69,0),12)+1,"C","C#","D","D#","E","F","F#","G","G#","A","A#","B")&amp;INT((ROUND(12*LOG(B19/440,2)+69,0))/12-1)</f>
        <v>B3</v>
      </c>
    </row>
    <row r="22" spans="1:8" x14ac:dyDescent="0.2">
      <c r="A22" t="s">
        <v>5694</v>
      </c>
      <c r="B22" s="469">
        <f>PI()*(B9/2)^2</f>
        <v>3.1415926535897931</v>
      </c>
    </row>
    <row r="23" spans="1:8" x14ac:dyDescent="0.2">
      <c r="A23" t="s">
        <v>5695</v>
      </c>
      <c r="B23" s="482">
        <f>B7+0.6*SQRT(B22/PI())</f>
        <v>0.89999999999999991</v>
      </c>
    </row>
    <row r="24" spans="1:8" x14ac:dyDescent="0.2">
      <c r="A24" t="s">
        <v>5696</v>
      </c>
      <c r="B24" s="707">
        <f>(B13/(2*PI()))*SQRT(B22/(B16*B23))</f>
        <v>191.55355135507614</v>
      </c>
    </row>
    <row r="25" spans="1:8" ht="15.75" x14ac:dyDescent="0.25">
      <c r="A25" t="s">
        <v>5697</v>
      </c>
      <c r="B25" s="753" t="str">
        <f>CHOOSE(MOD(ROUND(12*LOG(B24/440,2)+69,0),12)+1,"C","C#","D","D#","E","F","F#","G","G#","A","A#","B")&amp;INT((ROUND(12*LOG(B24/440,2)+69,0))/12-1)</f>
        <v>G3</v>
      </c>
    </row>
    <row r="27" spans="1:8" x14ac:dyDescent="0.2">
      <c r="A27" t="s">
        <v>5698</v>
      </c>
      <c r="B27" s="481">
        <f>ROUND(12*LOG(B19/B24,2),1)</f>
        <v>4.5</v>
      </c>
      <c r="C27" t="s">
        <v>5699</v>
      </c>
    </row>
    <row r="29" spans="1:8" ht="15" x14ac:dyDescent="0.25">
      <c r="A29" s="743" t="s">
        <v>5700</v>
      </c>
      <c r="B29" s="744"/>
      <c r="C29" s="744"/>
      <c r="D29" s="744"/>
      <c r="E29" s="744"/>
      <c r="F29" s="744"/>
      <c r="G29" s="744"/>
      <c r="H29" s="744"/>
    </row>
    <row r="30" spans="1:8" x14ac:dyDescent="0.2">
      <c r="A30" s="486" t="s">
        <v>3770</v>
      </c>
      <c r="B30" s="486" t="s">
        <v>5701</v>
      </c>
      <c r="C30" s="486" t="s">
        <v>4787</v>
      </c>
      <c r="D30" s="486" t="s">
        <v>5702</v>
      </c>
      <c r="E30" s="486" t="s">
        <v>5703</v>
      </c>
      <c r="F30" s="486" t="s">
        <v>5704</v>
      </c>
      <c r="G30" s="486" t="s">
        <v>5705</v>
      </c>
      <c r="H30" s="486" t="s">
        <v>3773</v>
      </c>
    </row>
    <row r="31" spans="1:8" x14ac:dyDescent="0.2">
      <c r="A31" t="s">
        <v>5706</v>
      </c>
      <c r="B31">
        <v>8</v>
      </c>
      <c r="C31">
        <v>10</v>
      </c>
      <c r="D31" s="662">
        <v>235</v>
      </c>
      <c r="E31" t="s">
        <v>5707</v>
      </c>
      <c r="F31" t="s">
        <v>5708</v>
      </c>
      <c r="G31" t="s">
        <v>5709</v>
      </c>
      <c r="H31" t="s">
        <v>5710</v>
      </c>
    </row>
    <row r="32" spans="1:8" x14ac:dyDescent="0.2">
      <c r="A32" t="s">
        <v>5711</v>
      </c>
      <c r="B32">
        <v>10</v>
      </c>
      <c r="C32">
        <v>12</v>
      </c>
      <c r="D32" s="662">
        <v>440</v>
      </c>
      <c r="E32" t="s">
        <v>5712</v>
      </c>
      <c r="F32" t="s">
        <v>5713</v>
      </c>
      <c r="G32" t="s">
        <v>5714</v>
      </c>
      <c r="H32" t="s">
        <v>5715</v>
      </c>
    </row>
    <row r="33" spans="1:8" x14ac:dyDescent="0.2">
      <c r="A33" t="s">
        <v>5716</v>
      </c>
      <c r="B33">
        <v>12</v>
      </c>
      <c r="C33">
        <v>14</v>
      </c>
      <c r="D33" s="662">
        <v>739</v>
      </c>
      <c r="E33" t="s">
        <v>5717</v>
      </c>
      <c r="F33" t="s">
        <v>5718</v>
      </c>
      <c r="G33" t="s">
        <v>5719</v>
      </c>
      <c r="H33" t="s">
        <v>5720</v>
      </c>
    </row>
    <row r="34" spans="1:8" x14ac:dyDescent="0.2">
      <c r="A34" t="s">
        <v>5721</v>
      </c>
      <c r="B34">
        <v>14</v>
      </c>
      <c r="C34">
        <v>16</v>
      </c>
      <c r="D34" s="662">
        <v>1149</v>
      </c>
      <c r="E34" t="s">
        <v>5722</v>
      </c>
      <c r="F34" t="s">
        <v>5723</v>
      </c>
      <c r="G34" t="s">
        <v>5724</v>
      </c>
      <c r="H34" t="s">
        <v>5725</v>
      </c>
    </row>
    <row r="36" spans="1:8" x14ac:dyDescent="0.2">
      <c r="A36" s="486" t="s">
        <v>5726</v>
      </c>
    </row>
    <row r="37" spans="1:8" x14ac:dyDescent="0.2">
      <c r="A37" t="s">
        <v>5727</v>
      </c>
      <c r="B37" t="s">
        <v>5728</v>
      </c>
      <c r="C37" t="s">
        <v>5729</v>
      </c>
      <c r="D37" t="s">
        <v>5730</v>
      </c>
      <c r="E37" t="s">
        <v>5731</v>
      </c>
    </row>
    <row r="38" spans="1:8" x14ac:dyDescent="0.2">
      <c r="A38" t="s">
        <v>5732</v>
      </c>
      <c r="B38" t="s">
        <v>5733</v>
      </c>
      <c r="C38" t="s">
        <v>5734</v>
      </c>
      <c r="D38" t="s">
        <v>5735</v>
      </c>
      <c r="E38" t="s">
        <v>5736</v>
      </c>
    </row>
    <row r="39" spans="1:8" x14ac:dyDescent="0.2">
      <c r="A39" t="s">
        <v>5737</v>
      </c>
      <c r="B39" t="s">
        <v>5738</v>
      </c>
      <c r="C39" t="s">
        <v>5739</v>
      </c>
      <c r="D39" t="s">
        <v>5740</v>
      </c>
      <c r="E39" t="s">
        <v>5741</v>
      </c>
    </row>
    <row r="40" spans="1:8" x14ac:dyDescent="0.2">
      <c r="A40" t="s">
        <v>5742</v>
      </c>
      <c r="B40" t="s">
        <v>5743</v>
      </c>
      <c r="C40" t="s">
        <v>5744</v>
      </c>
      <c r="D40" t="s">
        <v>5745</v>
      </c>
      <c r="E40" t="s">
        <v>5746</v>
      </c>
    </row>
    <row r="41" spans="1:8" x14ac:dyDescent="0.2">
      <c r="A41" t="s">
        <v>5747</v>
      </c>
      <c r="B41" t="s">
        <v>5748</v>
      </c>
      <c r="C41" t="s">
        <v>5749</v>
      </c>
      <c r="D41" t="s">
        <v>5750</v>
      </c>
      <c r="E41" t="s">
        <v>5751</v>
      </c>
    </row>
    <row r="43" spans="1:8" ht="15" x14ac:dyDescent="0.25">
      <c r="A43" s="738" t="s">
        <v>5752</v>
      </c>
      <c r="B43" s="739"/>
      <c r="C43" s="739"/>
      <c r="D43" s="739"/>
      <c r="E43" s="739"/>
      <c r="F43" s="739"/>
    </row>
    <row r="44" spans="1:8" x14ac:dyDescent="0.2">
      <c r="A44" s="484" t="s">
        <v>5753</v>
      </c>
      <c r="B44" s="484" t="s">
        <v>1081</v>
      </c>
      <c r="C44" s="484" t="s">
        <v>5754</v>
      </c>
      <c r="D44" s="484" t="s">
        <v>5755</v>
      </c>
      <c r="E44" s="484" t="s">
        <v>5756</v>
      </c>
    </row>
    <row r="45" spans="1:8" x14ac:dyDescent="0.2">
      <c r="A45" t="s">
        <v>5757</v>
      </c>
      <c r="B45" t="s">
        <v>5758</v>
      </c>
      <c r="C45" t="s">
        <v>5759</v>
      </c>
      <c r="D45" t="s">
        <v>5760</v>
      </c>
      <c r="E45" t="s">
        <v>5761</v>
      </c>
    </row>
    <row r="46" spans="1:8" x14ac:dyDescent="0.2">
      <c r="A46" t="s">
        <v>5762</v>
      </c>
      <c r="B46" t="s">
        <v>5763</v>
      </c>
      <c r="C46" t="s">
        <v>5764</v>
      </c>
      <c r="D46" t="s">
        <v>5765</v>
      </c>
      <c r="E46" t="s">
        <v>5766</v>
      </c>
    </row>
    <row r="47" spans="1:8" x14ac:dyDescent="0.2">
      <c r="A47" t="s">
        <v>5767</v>
      </c>
      <c r="B47" t="s">
        <v>5768</v>
      </c>
      <c r="C47" t="s">
        <v>5769</v>
      </c>
      <c r="D47" t="s">
        <v>5770</v>
      </c>
      <c r="E47" t="s">
        <v>5771</v>
      </c>
    </row>
    <row r="48" spans="1:8" x14ac:dyDescent="0.2">
      <c r="A48" t="s">
        <v>5772</v>
      </c>
      <c r="B48" t="s">
        <v>5773</v>
      </c>
      <c r="C48" t="s">
        <v>5774</v>
      </c>
      <c r="D48" t="s">
        <v>5775</v>
      </c>
      <c r="E48" t="s">
        <v>5776</v>
      </c>
    </row>
    <row r="49" spans="1:6" x14ac:dyDescent="0.2">
      <c r="A49" t="s">
        <v>5777</v>
      </c>
      <c r="B49" t="s">
        <v>5778</v>
      </c>
      <c r="C49" t="s">
        <v>5779</v>
      </c>
      <c r="D49" t="s">
        <v>5780</v>
      </c>
      <c r="E49" t="s">
        <v>5781</v>
      </c>
    </row>
    <row r="51" spans="1:6" ht="15" x14ac:dyDescent="0.25">
      <c r="A51" s="735" t="s">
        <v>5782</v>
      </c>
      <c r="B51" s="736"/>
      <c r="C51" s="736"/>
      <c r="D51" s="736"/>
      <c r="E51" s="736"/>
      <c r="F51" s="736"/>
    </row>
    <row r="52" spans="1:6" x14ac:dyDescent="0.2">
      <c r="A52" s="475" t="s">
        <v>610</v>
      </c>
      <c r="B52" s="475" t="s">
        <v>3219</v>
      </c>
      <c r="C52" s="475" t="s">
        <v>3809</v>
      </c>
      <c r="D52" s="475" t="s">
        <v>3810</v>
      </c>
      <c r="E52" s="475" t="s">
        <v>5783</v>
      </c>
    </row>
    <row r="53" spans="1:6" x14ac:dyDescent="0.2">
      <c r="A53" t="s">
        <v>61</v>
      </c>
      <c r="B53" t="s">
        <v>5784</v>
      </c>
      <c r="C53" t="s">
        <v>5785</v>
      </c>
      <c r="D53" t="s">
        <v>5786</v>
      </c>
      <c r="E53" t="s">
        <v>5787</v>
      </c>
    </row>
    <row r="54" spans="1:6" x14ac:dyDescent="0.2">
      <c r="A54" t="s">
        <v>70</v>
      </c>
      <c r="B54" t="s">
        <v>5788</v>
      </c>
      <c r="C54" t="s">
        <v>5789</v>
      </c>
      <c r="D54" t="s">
        <v>5790</v>
      </c>
      <c r="E54" t="s">
        <v>5791</v>
      </c>
    </row>
    <row r="55" spans="1:6" x14ac:dyDescent="0.2">
      <c r="A55" t="s">
        <v>73</v>
      </c>
      <c r="B55" t="s">
        <v>5792</v>
      </c>
      <c r="C55" t="s">
        <v>5793</v>
      </c>
      <c r="D55" t="s">
        <v>5794</v>
      </c>
      <c r="E55" t="s">
        <v>5795</v>
      </c>
    </row>
    <row r="56" spans="1:6" x14ac:dyDescent="0.2">
      <c r="A56" t="s">
        <v>159</v>
      </c>
      <c r="B56" t="s">
        <v>5796</v>
      </c>
      <c r="C56" t="s">
        <v>5797</v>
      </c>
      <c r="D56" t="s">
        <v>5798</v>
      </c>
      <c r="E56" t="s">
        <v>5799</v>
      </c>
    </row>
    <row r="58" spans="1:6" x14ac:dyDescent="0.2">
      <c r="A58" s="475" t="s">
        <v>5800</v>
      </c>
    </row>
    <row r="59" spans="1:6" x14ac:dyDescent="0.2">
      <c r="A59" t="s">
        <v>5801</v>
      </c>
    </row>
    <row r="60" spans="1:6" x14ac:dyDescent="0.2">
      <c r="A60" t="s">
        <v>5802</v>
      </c>
    </row>
    <row r="61" spans="1:6" x14ac:dyDescent="0.2">
      <c r="A61" t="s">
        <v>5803</v>
      </c>
    </row>
    <row r="62" spans="1:6" x14ac:dyDescent="0.2">
      <c r="A62" t="s">
        <v>5804</v>
      </c>
    </row>
    <row r="63" spans="1:6" x14ac:dyDescent="0.2">
      <c r="A63" t="s">
        <v>5805</v>
      </c>
    </row>
    <row r="64" spans="1:6" x14ac:dyDescent="0.2">
      <c r="A64" t="s">
        <v>5806</v>
      </c>
    </row>
    <row r="65" spans="1:5" x14ac:dyDescent="0.2">
      <c r="A65" t="s">
        <v>5807</v>
      </c>
    </row>
    <row r="66" spans="1:5" x14ac:dyDescent="0.2">
      <c r="A66" t="s">
        <v>5808</v>
      </c>
    </row>
    <row r="67" spans="1:5" x14ac:dyDescent="0.2">
      <c r="A67" t="s">
        <v>5809</v>
      </c>
    </row>
    <row r="68" spans="1:5" x14ac:dyDescent="0.2">
      <c r="A68" t="s">
        <v>5810</v>
      </c>
    </row>
    <row r="69" spans="1:5" x14ac:dyDescent="0.2">
      <c r="A69" t="s">
        <v>5811</v>
      </c>
    </row>
    <row r="70" spans="1:5" x14ac:dyDescent="0.2">
      <c r="A70" t="s">
        <v>5812</v>
      </c>
    </row>
    <row r="72" spans="1:5" ht="15" x14ac:dyDescent="0.25">
      <c r="A72" s="747" t="s">
        <v>1543</v>
      </c>
      <c r="B72" s="748"/>
      <c r="C72" s="748"/>
      <c r="D72" s="748"/>
      <c r="E72" s="748"/>
    </row>
    <row r="73" spans="1:5" x14ac:dyDescent="0.2">
      <c r="A73" s="768" t="s">
        <v>610</v>
      </c>
      <c r="B73" s="768" t="s">
        <v>1545</v>
      </c>
      <c r="C73" s="768" t="s">
        <v>1546</v>
      </c>
      <c r="D73" s="768" t="s">
        <v>4543</v>
      </c>
      <c r="E73" s="768" t="s">
        <v>1549</v>
      </c>
    </row>
    <row r="74" spans="1:5" x14ac:dyDescent="0.2">
      <c r="A74">
        <v>1</v>
      </c>
      <c r="B74" t="s">
        <v>5813</v>
      </c>
      <c r="C74" t="s">
        <v>5814</v>
      </c>
      <c r="D74" t="s">
        <v>5815</v>
      </c>
      <c r="E74" s="564" t="s">
        <v>5816</v>
      </c>
    </row>
    <row r="75" spans="1:5" x14ac:dyDescent="0.2">
      <c r="A75">
        <v>2</v>
      </c>
      <c r="B75" t="s">
        <v>5817</v>
      </c>
      <c r="C75" t="s">
        <v>5818</v>
      </c>
      <c r="D75" t="s">
        <v>5819</v>
      </c>
      <c r="E75" t="s">
        <v>5820</v>
      </c>
    </row>
    <row r="76" spans="1:5" x14ac:dyDescent="0.2">
      <c r="A76">
        <v>3</v>
      </c>
      <c r="B76" t="s">
        <v>5821</v>
      </c>
      <c r="C76" t="s">
        <v>5822</v>
      </c>
      <c r="D76" t="s">
        <v>5823</v>
      </c>
      <c r="E76" t="s">
        <v>4089</v>
      </c>
    </row>
    <row r="77" spans="1:5" x14ac:dyDescent="0.2">
      <c r="A77">
        <v>4</v>
      </c>
      <c r="B77" t="s">
        <v>5824</v>
      </c>
      <c r="C77" t="s">
        <v>5825</v>
      </c>
      <c r="D77" t="s">
        <v>5826</v>
      </c>
      <c r="E77" t="s">
        <v>5827</v>
      </c>
    </row>
    <row r="78" spans="1:5" x14ac:dyDescent="0.2">
      <c r="A78">
        <v>5</v>
      </c>
      <c r="B78" t="s">
        <v>5828</v>
      </c>
      <c r="C78" t="s">
        <v>2953</v>
      </c>
      <c r="D78" t="s">
        <v>5829</v>
      </c>
      <c r="E78" t="s">
        <v>4093</v>
      </c>
    </row>
    <row r="79" spans="1:5" x14ac:dyDescent="0.2">
      <c r="A79">
        <v>6</v>
      </c>
      <c r="B79" t="s">
        <v>5830</v>
      </c>
      <c r="C79" t="s">
        <v>5831</v>
      </c>
      <c r="D79" t="s">
        <v>5832</v>
      </c>
      <c r="E79" t="s">
        <v>5833</v>
      </c>
    </row>
    <row r="80" spans="1:5" x14ac:dyDescent="0.2">
      <c r="A80">
        <v>7</v>
      </c>
      <c r="B80" t="s">
        <v>5834</v>
      </c>
      <c r="C80" t="s">
        <v>5835</v>
      </c>
      <c r="D80" t="s">
        <v>5836</v>
      </c>
      <c r="E80" t="s">
        <v>4093</v>
      </c>
    </row>
    <row r="81" spans="1:5" x14ac:dyDescent="0.2">
      <c r="A81">
        <v>8</v>
      </c>
      <c r="B81" t="s">
        <v>5837</v>
      </c>
      <c r="C81" t="s">
        <v>2953</v>
      </c>
      <c r="D81" t="s">
        <v>5838</v>
      </c>
      <c r="E81" t="s">
        <v>4919</v>
      </c>
    </row>
    <row r="82" spans="1:5" x14ac:dyDescent="0.2">
      <c r="A82">
        <v>9</v>
      </c>
      <c r="B82" t="s">
        <v>5839</v>
      </c>
      <c r="C82">
        <v>1</v>
      </c>
      <c r="D82" t="s">
        <v>5840</v>
      </c>
      <c r="E82" t="s">
        <v>4254</v>
      </c>
    </row>
    <row r="83" spans="1:5" x14ac:dyDescent="0.2">
      <c r="B83" s="472" t="s">
        <v>5841</v>
      </c>
      <c r="E83" s="472" t="s">
        <v>5842</v>
      </c>
    </row>
    <row r="84" spans="1:5" x14ac:dyDescent="0.2">
      <c r="B84" s="472" t="s">
        <v>5843</v>
      </c>
      <c r="C84" t="s">
        <v>5845</v>
      </c>
      <c r="E84" s="472" t="s">
        <v>5844</v>
      </c>
    </row>
    <row r="86" spans="1:5" ht="15" x14ac:dyDescent="0.25">
      <c r="A86" s="751" t="s">
        <v>1532</v>
      </c>
      <c r="B86" s="752"/>
      <c r="C86" s="752"/>
      <c r="D86" s="752"/>
      <c r="E86" s="752"/>
    </row>
    <row r="87" spans="1:5" x14ac:dyDescent="0.2">
      <c r="A87" t="s">
        <v>5846</v>
      </c>
    </row>
    <row r="88" spans="1:5" x14ac:dyDescent="0.2">
      <c r="A88" t="s">
        <v>5847</v>
      </c>
    </row>
    <row r="89" spans="1:5" x14ac:dyDescent="0.2">
      <c r="A89" t="s">
        <v>5848</v>
      </c>
    </row>
    <row r="90" spans="1:5" x14ac:dyDescent="0.2">
      <c r="A90" t="s">
        <v>5849</v>
      </c>
    </row>
    <row r="91" spans="1:5" x14ac:dyDescent="0.2">
      <c r="A91" t="s">
        <v>5850</v>
      </c>
    </row>
    <row r="92" spans="1:5" x14ac:dyDescent="0.2">
      <c r="A92" t="s">
        <v>5851</v>
      </c>
    </row>
    <row r="93" spans="1:5" x14ac:dyDescent="0.2">
      <c r="A93" t="s">
        <v>5852</v>
      </c>
    </row>
    <row r="94" spans="1:5" x14ac:dyDescent="0.2">
      <c r="A94" t="s">
        <v>5853</v>
      </c>
    </row>
    <row r="95" spans="1:5" x14ac:dyDescent="0.2">
      <c r="A95" t="s">
        <v>5854</v>
      </c>
    </row>
    <row r="96" spans="1:5" x14ac:dyDescent="0.2">
      <c r="A96" t="s">
        <v>5855</v>
      </c>
    </row>
    <row r="97" spans="1:1" x14ac:dyDescent="0.2">
      <c r="A97" t="s">
        <v>5856</v>
      </c>
    </row>
    <row r="98" spans="1:1" x14ac:dyDescent="0.2">
      <c r="A98" t="s">
        <v>5857</v>
      </c>
    </row>
    <row r="101" spans="1:1" ht="18" x14ac:dyDescent="0.25">
      <c r="A101" s="833" t="s">
        <v>7018</v>
      </c>
    </row>
    <row r="102" spans="1:1" x14ac:dyDescent="0.2">
      <c r="A102" s="734" t="s">
        <v>7019</v>
      </c>
    </row>
    <row r="104" spans="1:1" x14ac:dyDescent="0.2">
      <c r="A104" s="609" t="s">
        <v>6355</v>
      </c>
    </row>
    <row r="105" spans="1:1" x14ac:dyDescent="0.2">
      <c r="A105" t="s">
        <v>7020</v>
      </c>
    </row>
    <row r="106" spans="1:1" x14ac:dyDescent="0.2">
      <c r="A106" s="759" t="s">
        <v>7021</v>
      </c>
    </row>
    <row r="107" spans="1:1" x14ac:dyDescent="0.2">
      <c r="A107" t="s">
        <v>7022</v>
      </c>
    </row>
    <row r="109" spans="1:1" x14ac:dyDescent="0.2">
      <c r="A109" s="609" t="s">
        <v>6359</v>
      </c>
    </row>
    <row r="110" spans="1:1" x14ac:dyDescent="0.2">
      <c r="A110" t="s">
        <v>7023</v>
      </c>
    </row>
    <row r="111" spans="1:1" x14ac:dyDescent="0.2">
      <c r="A111" t="s">
        <v>7024</v>
      </c>
    </row>
    <row r="112" spans="1:1" x14ac:dyDescent="0.2">
      <c r="A112" t="s">
        <v>7025</v>
      </c>
    </row>
    <row r="113" spans="1:1" x14ac:dyDescent="0.2">
      <c r="A113" t="s">
        <v>7026</v>
      </c>
    </row>
    <row r="115" spans="1:1" x14ac:dyDescent="0.2">
      <c r="A115" s="609" t="s">
        <v>6654</v>
      </c>
    </row>
    <row r="116" spans="1:1" x14ac:dyDescent="0.2">
      <c r="A116" t="s">
        <v>7027</v>
      </c>
    </row>
    <row r="117" spans="1:1" x14ac:dyDescent="0.2">
      <c r="A117" t="s">
        <v>7028</v>
      </c>
    </row>
    <row r="118" spans="1:1" x14ac:dyDescent="0.2">
      <c r="A118" t="s">
        <v>7029</v>
      </c>
    </row>
    <row r="120" spans="1:1" x14ac:dyDescent="0.2">
      <c r="A120" s="609" t="s">
        <v>6658</v>
      </c>
    </row>
    <row r="121" spans="1:1" x14ac:dyDescent="0.2">
      <c r="A121" t="s">
        <v>7030</v>
      </c>
    </row>
    <row r="122" spans="1:1" x14ac:dyDescent="0.2">
      <c r="A122" t="s">
        <v>7031</v>
      </c>
    </row>
    <row r="124" spans="1:1" x14ac:dyDescent="0.2">
      <c r="A124" s="609" t="s">
        <v>6661</v>
      </c>
    </row>
    <row r="125" spans="1:1" x14ac:dyDescent="0.2">
      <c r="A125" t="s">
        <v>6997</v>
      </c>
    </row>
    <row r="126" spans="1:1" x14ac:dyDescent="0.2">
      <c r="A126" t="s">
        <v>7032</v>
      </c>
    </row>
    <row r="127" spans="1:1" x14ac:dyDescent="0.2">
      <c r="A127" t="s">
        <v>7033</v>
      </c>
    </row>
    <row r="129" spans="1:1" x14ac:dyDescent="0.2">
      <c r="A129" s="609" t="s">
        <v>6682</v>
      </c>
    </row>
    <row r="130" spans="1:1" x14ac:dyDescent="0.2">
      <c r="A130" t="s">
        <v>7034</v>
      </c>
    </row>
    <row r="132" spans="1:1" ht="18" x14ac:dyDescent="0.25">
      <c r="A132" s="838" t="s">
        <v>7419</v>
      </c>
    </row>
    <row r="133" spans="1:1" x14ac:dyDescent="0.2">
      <c r="A133" s="734" t="s">
        <v>7246</v>
      </c>
    </row>
    <row r="135" spans="1:1" x14ac:dyDescent="0.2">
      <c r="A135" s="839" t="s">
        <v>7420</v>
      </c>
    </row>
    <row r="136" spans="1:1" x14ac:dyDescent="0.2">
      <c r="A136" s="842" t="s">
        <v>7421</v>
      </c>
    </row>
    <row r="137" spans="1:1" x14ac:dyDescent="0.2">
      <c r="A137" t="s">
        <v>7422</v>
      </c>
    </row>
    <row r="138" spans="1:1" x14ac:dyDescent="0.2">
      <c r="A138" t="s">
        <v>7423</v>
      </c>
    </row>
    <row r="140" spans="1:1" x14ac:dyDescent="0.2">
      <c r="A140" s="839" t="s">
        <v>7259</v>
      </c>
    </row>
    <row r="141" spans="1:1" x14ac:dyDescent="0.2">
      <c r="A141" s="842" t="s">
        <v>7424</v>
      </c>
    </row>
    <row r="142" spans="1:1" x14ac:dyDescent="0.2">
      <c r="A142" t="s">
        <v>7425</v>
      </c>
    </row>
    <row r="144" spans="1:1" x14ac:dyDescent="0.2">
      <c r="A144" s="839" t="s">
        <v>7366</v>
      </c>
    </row>
    <row r="145" spans="1:1" x14ac:dyDescent="0.2">
      <c r="A145" s="842" t="s">
        <v>7426</v>
      </c>
    </row>
    <row r="146" spans="1:1" x14ac:dyDescent="0.2">
      <c r="A146" t="s">
        <v>7427</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03623-BD3D-4ED0-BC5A-2E22779558B0}">
  <dimension ref="A1:F214"/>
  <sheetViews>
    <sheetView workbookViewId="0">
      <pane ySplit="3" topLeftCell="A93" activePane="bottomLeft" state="frozen"/>
      <selection pane="bottomLeft" activeCell="B36" sqref="B36"/>
    </sheetView>
  </sheetViews>
  <sheetFormatPr defaultRowHeight="12.75" x14ac:dyDescent="0.2"/>
  <cols>
    <col min="1" max="1" width="137.140625" customWidth="1"/>
    <col min="2" max="2" width="38.140625" customWidth="1"/>
    <col min="3" max="3" width="34.28515625" customWidth="1"/>
    <col min="4" max="4" width="30.42578125" customWidth="1"/>
    <col min="5" max="5" width="34.28515625" customWidth="1"/>
    <col min="6" max="6" width="41.85546875" customWidth="1"/>
  </cols>
  <sheetData>
    <row r="1" spans="1:6" ht="18" x14ac:dyDescent="0.25">
      <c r="A1" s="470" t="s">
        <v>5861</v>
      </c>
    </row>
    <row r="2" spans="1:6" x14ac:dyDescent="0.2">
      <c r="A2" s="734" t="s">
        <v>5862</v>
      </c>
    </row>
    <row r="4" spans="1:6" ht="15" x14ac:dyDescent="0.25">
      <c r="A4" s="784" t="s">
        <v>5863</v>
      </c>
      <c r="B4" s="785"/>
      <c r="C4" s="785"/>
      <c r="D4" s="785"/>
      <c r="E4" s="785"/>
      <c r="F4" s="785"/>
    </row>
    <row r="5" spans="1:6" x14ac:dyDescent="0.2">
      <c r="A5" t="s">
        <v>5864</v>
      </c>
      <c r="B5" s="737">
        <v>480</v>
      </c>
      <c r="C5" t="s">
        <v>5865</v>
      </c>
    </row>
    <row r="6" spans="1:6" x14ac:dyDescent="0.2">
      <c r="A6" t="s">
        <v>1457</v>
      </c>
      <c r="B6" s="662">
        <v>13510</v>
      </c>
    </row>
    <row r="7" spans="1:6" x14ac:dyDescent="0.2">
      <c r="A7" t="s">
        <v>5866</v>
      </c>
      <c r="B7" s="564" t="s">
        <v>5867</v>
      </c>
      <c r="C7" t="s">
        <v>5868</v>
      </c>
    </row>
    <row r="8" spans="1:6" x14ac:dyDescent="0.2">
      <c r="A8" t="s">
        <v>5869</v>
      </c>
      <c r="B8" s="564" t="s">
        <v>5870</v>
      </c>
      <c r="C8" t="s">
        <v>5871</v>
      </c>
    </row>
    <row r="9" spans="1:6" x14ac:dyDescent="0.2">
      <c r="A9" t="s">
        <v>613</v>
      </c>
      <c r="B9" s="564" t="s">
        <v>5872</v>
      </c>
      <c r="C9" t="s">
        <v>5873</v>
      </c>
    </row>
    <row r="10" spans="1:6" x14ac:dyDescent="0.2">
      <c r="A10" t="s">
        <v>5874</v>
      </c>
      <c r="B10" s="564" t="s">
        <v>5875</v>
      </c>
      <c r="C10" t="s">
        <v>5876</v>
      </c>
    </row>
    <row r="11" spans="1:6" x14ac:dyDescent="0.2">
      <c r="A11" t="s">
        <v>5877</v>
      </c>
      <c r="B11" s="564" t="s">
        <v>5878</v>
      </c>
      <c r="C11" t="s">
        <v>5879</v>
      </c>
    </row>
    <row r="13" spans="1:6" ht="15" x14ac:dyDescent="0.25">
      <c r="A13" s="764" t="s">
        <v>5880</v>
      </c>
      <c r="B13" s="765"/>
      <c r="C13" s="765"/>
      <c r="D13" s="765"/>
      <c r="E13" s="765"/>
      <c r="F13" s="765"/>
    </row>
    <row r="14" spans="1:6" x14ac:dyDescent="0.2">
      <c r="A14" t="s">
        <v>5881</v>
      </c>
      <c r="B14" s="565">
        <v>14.5</v>
      </c>
      <c r="C14" t="s">
        <v>5883</v>
      </c>
    </row>
    <row r="15" spans="1:6" x14ac:dyDescent="0.2">
      <c r="A15" t="s">
        <v>5884</v>
      </c>
      <c r="B15" s="596">
        <v>0.157</v>
      </c>
      <c r="C15" t="s">
        <v>5885</v>
      </c>
    </row>
    <row r="16" spans="1:6" x14ac:dyDescent="0.2">
      <c r="A16" t="s">
        <v>5886</v>
      </c>
      <c r="B16" s="596">
        <v>0.8</v>
      </c>
      <c r="C16" t="s">
        <v>5887</v>
      </c>
    </row>
    <row r="17" spans="1:6" x14ac:dyDescent="0.2">
      <c r="A17" t="s">
        <v>5882</v>
      </c>
      <c r="B17" s="472" t="str">
        <f>ROUND(B14/(B16-B15),0)&amp;":1"</f>
        <v>23:1</v>
      </c>
      <c r="C17" t="s">
        <v>5888</v>
      </c>
    </row>
    <row r="18" spans="1:6" x14ac:dyDescent="0.2">
      <c r="A18" t="s">
        <v>3006</v>
      </c>
      <c r="B18" s="596">
        <v>0.22</v>
      </c>
    </row>
    <row r="19" spans="1:6" x14ac:dyDescent="0.2">
      <c r="A19" t="s">
        <v>5889</v>
      </c>
      <c r="B19" s="482">
        <f>B16+2*B18</f>
        <v>1.24</v>
      </c>
    </row>
    <row r="21" spans="1:6" x14ac:dyDescent="0.2">
      <c r="A21" s="713" t="s">
        <v>5890</v>
      </c>
    </row>
    <row r="22" spans="1:6" x14ac:dyDescent="0.2">
      <c r="A22" s="713" t="s">
        <v>785</v>
      </c>
      <c r="B22" s="713" t="s">
        <v>5891</v>
      </c>
      <c r="C22" s="713" t="s">
        <v>1368</v>
      </c>
      <c r="D22" s="713" t="s">
        <v>5892</v>
      </c>
      <c r="E22" s="713" t="s">
        <v>5893</v>
      </c>
      <c r="F22" s="713" t="s">
        <v>5894</v>
      </c>
    </row>
    <row r="23" spans="1:6" x14ac:dyDescent="0.2">
      <c r="A23" t="s">
        <v>5895</v>
      </c>
      <c r="B23" s="330" t="s">
        <v>6064</v>
      </c>
      <c r="C23" s="481">
        <f>$B$5*8/9</f>
        <v>426.66666666666669</v>
      </c>
      <c r="D23" s="482">
        <f t="shared" ref="D23:D31" si="0">$B$6/(2*C23)</f>
        <v>15.83203125</v>
      </c>
      <c r="E23" s="596">
        <v>0.25</v>
      </c>
      <c r="F23" t="s">
        <v>5896</v>
      </c>
    </row>
    <row r="24" spans="1:6" x14ac:dyDescent="0.2">
      <c r="A24" t="s">
        <v>5897</v>
      </c>
      <c r="B24" s="330" t="s">
        <v>6065</v>
      </c>
      <c r="C24" s="481">
        <f>$B$5</f>
        <v>480</v>
      </c>
      <c r="D24" s="482">
        <f t="shared" si="0"/>
        <v>14.072916666666666</v>
      </c>
      <c r="E24" s="596">
        <v>0.28000000000000003</v>
      </c>
      <c r="F24" t="s">
        <v>5898</v>
      </c>
    </row>
    <row r="25" spans="1:6" x14ac:dyDescent="0.2">
      <c r="A25" t="s">
        <v>70</v>
      </c>
      <c r="B25" s="330" t="s">
        <v>6066</v>
      </c>
      <c r="C25" s="481">
        <f>$B$5*9/8</f>
        <v>540</v>
      </c>
      <c r="D25" s="482">
        <f t="shared" si="0"/>
        <v>12.50925925925926</v>
      </c>
      <c r="E25" s="596">
        <v>0.24</v>
      </c>
      <c r="F25" t="s">
        <v>5899</v>
      </c>
    </row>
    <row r="26" spans="1:6" x14ac:dyDescent="0.2">
      <c r="A26" t="s">
        <v>5900</v>
      </c>
      <c r="B26" s="330" t="s">
        <v>6067</v>
      </c>
      <c r="C26" s="481">
        <f>$B$5*5/4</f>
        <v>600</v>
      </c>
      <c r="D26" s="482">
        <f t="shared" si="0"/>
        <v>11.258333333333333</v>
      </c>
      <c r="E26" s="596">
        <v>0.28000000000000003</v>
      </c>
      <c r="F26" t="s">
        <v>5901</v>
      </c>
    </row>
    <row r="27" spans="1:6" x14ac:dyDescent="0.2">
      <c r="A27" t="s">
        <v>159</v>
      </c>
      <c r="B27" s="330" t="s">
        <v>6068</v>
      </c>
      <c r="C27" s="481">
        <f>$B$5*4/3</f>
        <v>640</v>
      </c>
      <c r="D27" s="482">
        <f t="shared" si="0"/>
        <v>10.5546875</v>
      </c>
      <c r="E27" s="596">
        <v>0.31</v>
      </c>
      <c r="F27" t="s">
        <v>5902</v>
      </c>
    </row>
    <row r="28" spans="1:6" x14ac:dyDescent="0.2">
      <c r="A28" t="s">
        <v>76</v>
      </c>
      <c r="B28" s="330" t="s">
        <v>6069</v>
      </c>
      <c r="C28" s="481">
        <f>$B$5*3/2</f>
        <v>720</v>
      </c>
      <c r="D28" s="482">
        <f t="shared" si="0"/>
        <v>9.3819444444444446</v>
      </c>
      <c r="E28" s="596">
        <v>0.28000000000000003</v>
      </c>
      <c r="F28" t="s">
        <v>5903</v>
      </c>
    </row>
    <row r="29" spans="1:6" x14ac:dyDescent="0.2">
      <c r="A29" t="s">
        <v>5904</v>
      </c>
      <c r="B29" s="330" t="s">
        <v>6070</v>
      </c>
      <c r="C29" s="481">
        <f>$B$5*5/3</f>
        <v>800</v>
      </c>
      <c r="D29" s="482">
        <f t="shared" si="0"/>
        <v>8.4437499999999996</v>
      </c>
      <c r="E29" s="596">
        <v>0.22</v>
      </c>
      <c r="F29" t="s">
        <v>5905</v>
      </c>
    </row>
    <row r="30" spans="1:6" x14ac:dyDescent="0.2">
      <c r="A30" t="s">
        <v>5906</v>
      </c>
      <c r="B30" s="330" t="s">
        <v>6071</v>
      </c>
      <c r="C30" s="481">
        <f>$B$5*7/4</f>
        <v>840</v>
      </c>
      <c r="D30" s="482">
        <f t="shared" si="0"/>
        <v>8.0416666666666661</v>
      </c>
      <c r="E30" s="596">
        <v>0.19</v>
      </c>
      <c r="F30" t="s">
        <v>5907</v>
      </c>
    </row>
    <row r="31" spans="1:6" x14ac:dyDescent="0.2">
      <c r="A31" t="s">
        <v>5908</v>
      </c>
      <c r="B31" s="330" t="s">
        <v>6072</v>
      </c>
      <c r="C31" s="481">
        <f>$B$5*2</f>
        <v>960</v>
      </c>
      <c r="D31" s="482">
        <f t="shared" si="0"/>
        <v>7.036458333333333</v>
      </c>
      <c r="F31" t="s">
        <v>5909</v>
      </c>
    </row>
    <row r="32" spans="1:6" x14ac:dyDescent="0.2">
      <c r="A32" s="734" t="s">
        <v>5910</v>
      </c>
    </row>
    <row r="33" spans="1:6" ht="14.25" x14ac:dyDescent="0.2">
      <c r="A33" s="786" t="s">
        <v>6073</v>
      </c>
      <c r="B33" s="736"/>
      <c r="C33" s="736"/>
      <c r="D33" s="736"/>
      <c r="E33" s="736"/>
      <c r="F33" s="736"/>
    </row>
    <row r="34" spans="1:6" x14ac:dyDescent="0.2">
      <c r="A34" s="757" t="s">
        <v>203</v>
      </c>
      <c r="B34" s="793" t="s">
        <v>6130</v>
      </c>
      <c r="C34" s="475" t="s">
        <v>6131</v>
      </c>
      <c r="D34" s="475" t="s">
        <v>2</v>
      </c>
    </row>
    <row r="35" spans="1:6" x14ac:dyDescent="0.2">
      <c r="A35" s="787" t="s">
        <v>6074</v>
      </c>
    </row>
    <row r="36" spans="1:6" x14ac:dyDescent="0.2">
      <c r="A36" s="734" t="s">
        <v>3014</v>
      </c>
      <c r="B36" s="596">
        <v>15.75</v>
      </c>
      <c r="C36" s="565">
        <v>16.5</v>
      </c>
      <c r="D36" t="s">
        <v>6075</v>
      </c>
    </row>
    <row r="37" spans="1:6" x14ac:dyDescent="0.2">
      <c r="A37" s="734" t="s">
        <v>6076</v>
      </c>
      <c r="B37" s="564" t="s">
        <v>6132</v>
      </c>
      <c r="C37" s="564" t="s">
        <v>6077</v>
      </c>
      <c r="D37" t="s">
        <v>6078</v>
      </c>
    </row>
    <row r="38" spans="1:6" x14ac:dyDescent="0.2">
      <c r="A38" s="734" t="s">
        <v>6079</v>
      </c>
      <c r="B38" s="596">
        <v>0.5</v>
      </c>
      <c r="C38" s="596">
        <v>0.88</v>
      </c>
      <c r="D38" t="s">
        <v>6080</v>
      </c>
    </row>
    <row r="39" spans="1:6" x14ac:dyDescent="0.2">
      <c r="A39" s="734" t="s">
        <v>6081</v>
      </c>
      <c r="B39" s="596">
        <v>0.87</v>
      </c>
      <c r="C39" s="596">
        <v>1</v>
      </c>
      <c r="D39" t="s">
        <v>6082</v>
      </c>
    </row>
    <row r="40" spans="1:6" x14ac:dyDescent="0.2">
      <c r="A40" s="734" t="s">
        <v>6083</v>
      </c>
      <c r="B40" s="596">
        <v>0.75</v>
      </c>
      <c r="C40" s="596">
        <v>1.25</v>
      </c>
      <c r="D40" t="s">
        <v>6084</v>
      </c>
    </row>
    <row r="41" spans="1:6" x14ac:dyDescent="0.2">
      <c r="A41" s="787" t="s">
        <v>6085</v>
      </c>
    </row>
    <row r="42" spans="1:6" x14ac:dyDescent="0.2">
      <c r="A42" s="734" t="s">
        <v>6086</v>
      </c>
      <c r="B42" s="596">
        <v>0.15</v>
      </c>
      <c r="C42" s="596">
        <v>0.157</v>
      </c>
      <c r="D42" t="s">
        <v>6087</v>
      </c>
    </row>
    <row r="43" spans="1:6" x14ac:dyDescent="0.2">
      <c r="A43" s="734" t="s">
        <v>6088</v>
      </c>
      <c r="B43" s="596">
        <v>0.56499999999999995</v>
      </c>
      <c r="C43" s="596">
        <v>0.8</v>
      </c>
      <c r="D43" t="s">
        <v>6089</v>
      </c>
    </row>
    <row r="44" spans="1:6" x14ac:dyDescent="0.2">
      <c r="A44" s="734" t="s">
        <v>5882</v>
      </c>
      <c r="B44" t="str">
        <f>ROUND(B36/(B43-B42),0)&amp;":1"</f>
        <v>38:1</v>
      </c>
      <c r="C44" t="str">
        <f>ROUND(C36/(C43-C42),0)&amp;":1"</f>
        <v>26:1</v>
      </c>
      <c r="D44" t="s">
        <v>6133</v>
      </c>
    </row>
    <row r="45" spans="1:6" x14ac:dyDescent="0.2">
      <c r="A45" s="734"/>
    </row>
    <row r="46" spans="1:6" x14ac:dyDescent="0.2">
      <c r="A46" s="787" t="s">
        <v>6134</v>
      </c>
    </row>
    <row r="47" spans="1:6" x14ac:dyDescent="0.2">
      <c r="A47" s="788" t="s">
        <v>6090</v>
      </c>
      <c r="B47" s="486" t="s">
        <v>6135</v>
      </c>
      <c r="C47" s="486" t="s">
        <v>6136</v>
      </c>
      <c r="D47" s="486" t="s">
        <v>6137</v>
      </c>
      <c r="E47" s="486" t="s">
        <v>6138</v>
      </c>
      <c r="F47" s="486" t="s">
        <v>6139</v>
      </c>
    </row>
    <row r="48" spans="1:6" x14ac:dyDescent="0.2">
      <c r="A48" s="734" t="s">
        <v>6140</v>
      </c>
      <c r="B48" s="596">
        <v>4.34</v>
      </c>
      <c r="C48" s="482">
        <f>D31</f>
        <v>7.036458333333333</v>
      </c>
      <c r="D48" s="596">
        <v>0.155</v>
      </c>
      <c r="E48" s="596">
        <v>0.1</v>
      </c>
      <c r="F48" t="s">
        <v>6141</v>
      </c>
    </row>
    <row r="49" spans="1:6" x14ac:dyDescent="0.2">
      <c r="A49" s="734">
        <v>6</v>
      </c>
      <c r="B49" s="596">
        <v>5.71</v>
      </c>
      <c r="C49" s="482">
        <f>D29</f>
        <v>8.4437499999999996</v>
      </c>
      <c r="D49" s="596">
        <v>0.155</v>
      </c>
      <c r="E49" s="596">
        <v>0.05</v>
      </c>
      <c r="F49" t="s">
        <v>6145</v>
      </c>
    </row>
    <row r="50" spans="1:6" x14ac:dyDescent="0.2">
      <c r="A50" s="734">
        <v>5</v>
      </c>
      <c r="B50" s="596">
        <v>6.875</v>
      </c>
      <c r="C50" s="482">
        <f>D28</f>
        <v>9.3819444444444446</v>
      </c>
      <c r="D50" s="596">
        <v>0.155</v>
      </c>
      <c r="E50" s="596">
        <v>0.05</v>
      </c>
      <c r="F50" t="s">
        <v>6146</v>
      </c>
    </row>
    <row r="51" spans="1:6" x14ac:dyDescent="0.2">
      <c r="A51" s="734">
        <v>4</v>
      </c>
      <c r="B51" s="596">
        <v>7.625</v>
      </c>
      <c r="C51" s="482">
        <f>D27</f>
        <v>10.5546875</v>
      </c>
      <c r="D51" s="596">
        <v>0.128</v>
      </c>
      <c r="E51" s="596">
        <v>0.05</v>
      </c>
      <c r="F51" t="s">
        <v>6147</v>
      </c>
    </row>
    <row r="52" spans="1:6" x14ac:dyDescent="0.2">
      <c r="A52" s="734">
        <v>3</v>
      </c>
      <c r="B52" s="596">
        <v>8.7200000000000006</v>
      </c>
      <c r="C52" s="482">
        <f>D26</f>
        <v>11.258333333333333</v>
      </c>
      <c r="D52" s="596">
        <v>0.155</v>
      </c>
      <c r="E52" s="596">
        <v>0.05</v>
      </c>
      <c r="F52" t="s">
        <v>6148</v>
      </c>
    </row>
    <row r="53" spans="1:6" x14ac:dyDescent="0.2">
      <c r="A53" s="734">
        <v>2</v>
      </c>
      <c r="B53" s="596">
        <v>9.625</v>
      </c>
      <c r="C53" s="482">
        <f>D25</f>
        <v>12.50925925925926</v>
      </c>
      <c r="D53" s="596">
        <v>0.124</v>
      </c>
      <c r="E53" s="596">
        <v>0.05</v>
      </c>
      <c r="F53" t="s">
        <v>6149</v>
      </c>
    </row>
    <row r="54" spans="1:6" x14ac:dyDescent="0.2">
      <c r="A54" s="734" t="s">
        <v>6091</v>
      </c>
      <c r="B54" s="596">
        <v>10.53</v>
      </c>
      <c r="C54" s="482">
        <f>D24</f>
        <v>14.072916666666666</v>
      </c>
      <c r="D54" s="596">
        <v>0.09</v>
      </c>
      <c r="E54" s="596">
        <v>0.05</v>
      </c>
      <c r="F54" t="s">
        <v>6144</v>
      </c>
    </row>
    <row r="55" spans="1:6" x14ac:dyDescent="0.2">
      <c r="A55" s="734" t="s">
        <v>6142</v>
      </c>
      <c r="B55" s="596">
        <v>11.25</v>
      </c>
      <c r="C55" s="482">
        <f>D24*0.95</f>
        <v>13.369270833333331</v>
      </c>
      <c r="D55" s="596">
        <v>7.4999999999999997E-2</v>
      </c>
      <c r="E55" s="596">
        <v>0.04</v>
      </c>
      <c r="F55" t="s">
        <v>6143</v>
      </c>
    </row>
    <row r="56" spans="1:6" x14ac:dyDescent="0.2">
      <c r="A56" s="734"/>
    </row>
    <row r="57" spans="1:6" x14ac:dyDescent="0.2">
      <c r="A57" s="791" t="s">
        <v>6150</v>
      </c>
    </row>
    <row r="58" spans="1:6" x14ac:dyDescent="0.2">
      <c r="A58" s="787" t="s">
        <v>6151</v>
      </c>
    </row>
    <row r="59" spans="1:6" x14ac:dyDescent="0.2">
      <c r="A59" s="734"/>
    </row>
    <row r="60" spans="1:6" ht="14.25" x14ac:dyDescent="0.2">
      <c r="A60" s="789" t="s">
        <v>6092</v>
      </c>
      <c r="B60" s="739"/>
      <c r="C60" s="739"/>
      <c r="D60" s="739"/>
      <c r="E60" s="739"/>
      <c r="F60" s="739"/>
    </row>
    <row r="61" spans="1:6" x14ac:dyDescent="0.2">
      <c r="A61" s="790" t="s">
        <v>613</v>
      </c>
      <c r="B61" s="484" t="s">
        <v>6093</v>
      </c>
      <c r="C61" s="484" t="s">
        <v>6094</v>
      </c>
      <c r="D61" s="484" t="s">
        <v>6095</v>
      </c>
      <c r="E61" s="484" t="s">
        <v>6096</v>
      </c>
      <c r="F61" s="484" t="s">
        <v>2</v>
      </c>
    </row>
    <row r="62" spans="1:6" x14ac:dyDescent="0.2">
      <c r="A62" s="734" t="s">
        <v>6097</v>
      </c>
      <c r="B62">
        <v>79</v>
      </c>
      <c r="C62">
        <v>3670</v>
      </c>
      <c r="D62" t="s">
        <v>6098</v>
      </c>
      <c r="E62" t="s">
        <v>6099</v>
      </c>
      <c r="F62" t="s">
        <v>6100</v>
      </c>
    </row>
    <row r="63" spans="1:6" x14ac:dyDescent="0.2">
      <c r="A63" s="734" t="s">
        <v>6101</v>
      </c>
      <c r="B63" s="472">
        <v>69</v>
      </c>
      <c r="C63" s="472">
        <v>3510</v>
      </c>
      <c r="D63" t="s">
        <v>6102</v>
      </c>
      <c r="E63" s="740" t="s">
        <v>6103</v>
      </c>
      <c r="F63" t="s">
        <v>6104</v>
      </c>
    </row>
    <row r="64" spans="1:6" x14ac:dyDescent="0.2">
      <c r="A64" s="734" t="s">
        <v>6105</v>
      </c>
      <c r="B64">
        <v>69</v>
      </c>
      <c r="C64">
        <v>2960</v>
      </c>
      <c r="D64" t="s">
        <v>6106</v>
      </c>
      <c r="E64" t="s">
        <v>6107</v>
      </c>
      <c r="F64" t="s">
        <v>6108</v>
      </c>
    </row>
    <row r="65" spans="1:6" x14ac:dyDescent="0.2">
      <c r="A65" s="734" t="s">
        <v>6109</v>
      </c>
      <c r="B65">
        <v>64</v>
      </c>
      <c r="C65">
        <v>2900</v>
      </c>
      <c r="D65" t="s">
        <v>6110</v>
      </c>
      <c r="E65" t="s">
        <v>6111</v>
      </c>
      <c r="F65" t="s">
        <v>6112</v>
      </c>
    </row>
    <row r="66" spans="1:6" x14ac:dyDescent="0.2">
      <c r="A66" s="734" t="s">
        <v>386</v>
      </c>
      <c r="B66">
        <v>44</v>
      </c>
      <c r="C66">
        <v>1450</v>
      </c>
      <c r="D66" t="s">
        <v>6113</v>
      </c>
      <c r="E66" s="740" t="s">
        <v>6114</v>
      </c>
      <c r="F66" t="s">
        <v>6115</v>
      </c>
    </row>
    <row r="67" spans="1:6" x14ac:dyDescent="0.2">
      <c r="A67" s="734" t="s">
        <v>6116</v>
      </c>
      <c r="B67">
        <v>57</v>
      </c>
      <c r="C67">
        <v>2840</v>
      </c>
      <c r="D67" t="s">
        <v>6117</v>
      </c>
      <c r="E67" t="s">
        <v>6118</v>
      </c>
      <c r="F67" t="s">
        <v>6119</v>
      </c>
    </row>
    <row r="68" spans="1:6" x14ac:dyDescent="0.2">
      <c r="A68" s="734" t="s">
        <v>6120</v>
      </c>
      <c r="B68">
        <v>89</v>
      </c>
      <c r="C68" t="s">
        <v>6121</v>
      </c>
      <c r="D68" t="s">
        <v>6122</v>
      </c>
      <c r="E68" s="740" t="s">
        <v>6123</v>
      </c>
      <c r="F68" t="s">
        <v>6124</v>
      </c>
    </row>
    <row r="69" spans="1:6" x14ac:dyDescent="0.2">
      <c r="A69" s="734" t="s">
        <v>464</v>
      </c>
      <c r="B69">
        <v>35</v>
      </c>
      <c r="C69">
        <v>950</v>
      </c>
      <c r="D69" t="s">
        <v>6125</v>
      </c>
      <c r="E69" s="740" t="s">
        <v>6114</v>
      </c>
      <c r="F69" t="s">
        <v>6126</v>
      </c>
    </row>
    <row r="70" spans="1:6" x14ac:dyDescent="0.2">
      <c r="A70" s="734" t="s">
        <v>398</v>
      </c>
      <c r="B70">
        <v>38</v>
      </c>
      <c r="C70">
        <v>1010</v>
      </c>
      <c r="D70" t="s">
        <v>6125</v>
      </c>
      <c r="E70" s="740" t="s">
        <v>6127</v>
      </c>
      <c r="F70" t="s">
        <v>6128</v>
      </c>
    </row>
    <row r="71" spans="1:6" x14ac:dyDescent="0.2">
      <c r="A71" s="734"/>
    </row>
    <row r="72" spans="1:6" x14ac:dyDescent="0.2">
      <c r="A72" s="792" t="s">
        <v>6129</v>
      </c>
    </row>
    <row r="73" spans="1:6" x14ac:dyDescent="0.2">
      <c r="A73" s="734"/>
    </row>
    <row r="74" spans="1:6" x14ac:dyDescent="0.2">
      <c r="A74" s="734"/>
    </row>
    <row r="76" spans="1:6" ht="15" x14ac:dyDescent="0.25">
      <c r="A76" s="738" t="s">
        <v>5911</v>
      </c>
      <c r="B76" s="739"/>
      <c r="C76" s="739"/>
      <c r="D76" s="739"/>
      <c r="E76" s="739"/>
      <c r="F76" s="739"/>
    </row>
    <row r="77" spans="1:6" x14ac:dyDescent="0.2">
      <c r="A77" s="484" t="s">
        <v>5912</v>
      </c>
      <c r="B77" s="484" t="s">
        <v>5913</v>
      </c>
      <c r="C77" s="484" t="s">
        <v>1368</v>
      </c>
      <c r="D77" s="484" t="s">
        <v>5914</v>
      </c>
      <c r="E77" s="484" t="s">
        <v>5915</v>
      </c>
      <c r="F77" s="484" t="s">
        <v>5916</v>
      </c>
    </row>
    <row r="78" spans="1:6" x14ac:dyDescent="0.2">
      <c r="A78" t="s">
        <v>5917</v>
      </c>
      <c r="B78" t="s">
        <v>5918</v>
      </c>
      <c r="C78" s="481">
        <f>$B$5/2</f>
        <v>240</v>
      </c>
      <c r="D78" s="469">
        <f>$B$6/(4*C78)</f>
        <v>14.072916666666666</v>
      </c>
      <c r="E78" t="s">
        <v>5919</v>
      </c>
      <c r="F78" t="s">
        <v>5920</v>
      </c>
    </row>
    <row r="79" spans="1:6" x14ac:dyDescent="0.2">
      <c r="A79" t="s">
        <v>5921</v>
      </c>
      <c r="B79" t="s">
        <v>5922</v>
      </c>
      <c r="C79" s="481">
        <f>$B$5/2</f>
        <v>240</v>
      </c>
      <c r="D79" s="469">
        <f>$B$6/(4*C79)</f>
        <v>14.072916666666666</v>
      </c>
      <c r="E79" t="s">
        <v>5919</v>
      </c>
      <c r="F79" t="s">
        <v>5923</v>
      </c>
    </row>
    <row r="80" spans="1:6" x14ac:dyDescent="0.2">
      <c r="A80" t="s">
        <v>4824</v>
      </c>
      <c r="B80" t="s">
        <v>5924</v>
      </c>
      <c r="C80" s="481">
        <f>$B$5/4</f>
        <v>120</v>
      </c>
      <c r="D80" s="469">
        <f>$B$6/(4*C80)</f>
        <v>28.145833333333332</v>
      </c>
      <c r="E80" t="s">
        <v>5925</v>
      </c>
      <c r="F80" t="s">
        <v>5926</v>
      </c>
    </row>
    <row r="82" spans="1:6" x14ac:dyDescent="0.2">
      <c r="A82" s="484" t="s">
        <v>5927</v>
      </c>
    </row>
    <row r="83" spans="1:6" x14ac:dyDescent="0.2">
      <c r="A83" s="472" t="s">
        <v>5928</v>
      </c>
      <c r="B83" t="s">
        <v>1297</v>
      </c>
      <c r="C83" t="s">
        <v>1024</v>
      </c>
      <c r="D83" t="s">
        <v>5929</v>
      </c>
      <c r="E83" t="s">
        <v>1188</v>
      </c>
    </row>
    <row r="84" spans="1:6" x14ac:dyDescent="0.2">
      <c r="A84" t="s">
        <v>5930</v>
      </c>
      <c r="B84" s="564">
        <v>8</v>
      </c>
      <c r="C84" s="596">
        <v>0.34399999999999997</v>
      </c>
      <c r="D84" s="596">
        <v>0.81299999999999994</v>
      </c>
      <c r="E84" t="s">
        <v>5931</v>
      </c>
    </row>
    <row r="85" spans="1:6" x14ac:dyDescent="0.2">
      <c r="A85" t="s">
        <v>5932</v>
      </c>
      <c r="B85" s="564">
        <v>9</v>
      </c>
      <c r="C85" s="596">
        <v>0.56299999999999994</v>
      </c>
      <c r="E85" t="s">
        <v>5933</v>
      </c>
    </row>
    <row r="86" spans="1:6" x14ac:dyDescent="0.2">
      <c r="A86" t="s">
        <v>5934</v>
      </c>
      <c r="B86" s="564">
        <v>3.125</v>
      </c>
      <c r="C86" s="596">
        <v>0.625</v>
      </c>
    </row>
    <row r="87" spans="1:6" x14ac:dyDescent="0.2">
      <c r="A87" t="s">
        <v>5935</v>
      </c>
      <c r="B87" s="564">
        <v>8</v>
      </c>
      <c r="C87" s="596">
        <v>0.375</v>
      </c>
      <c r="D87" s="596">
        <v>0.81299999999999994</v>
      </c>
    </row>
    <row r="88" spans="1:6" x14ac:dyDescent="0.2">
      <c r="A88" t="s">
        <v>5936</v>
      </c>
      <c r="B88" s="564">
        <v>15</v>
      </c>
      <c r="C88" s="596">
        <v>0.438</v>
      </c>
    </row>
    <row r="89" spans="1:6" x14ac:dyDescent="0.2">
      <c r="A89" t="s">
        <v>5937</v>
      </c>
      <c r="B89" s="564">
        <v>9</v>
      </c>
      <c r="C89" s="596">
        <v>0.625</v>
      </c>
    </row>
    <row r="91" spans="1:6" ht="15" x14ac:dyDescent="0.25">
      <c r="A91" s="743" t="s">
        <v>5938</v>
      </c>
      <c r="B91" s="744"/>
      <c r="C91" s="744"/>
      <c r="D91" s="744"/>
      <c r="E91" s="744"/>
      <c r="F91" s="744"/>
    </row>
    <row r="92" spans="1:6" x14ac:dyDescent="0.2">
      <c r="A92" s="486" t="s">
        <v>5939</v>
      </c>
      <c r="B92" s="486" t="s">
        <v>5940</v>
      </c>
      <c r="C92" s="486" t="s">
        <v>1972</v>
      </c>
      <c r="D92" s="486" t="s">
        <v>1188</v>
      </c>
      <c r="E92" s="486" t="s">
        <v>5941</v>
      </c>
      <c r="F92" s="486" t="s">
        <v>2</v>
      </c>
    </row>
    <row r="93" spans="1:6" x14ac:dyDescent="0.2">
      <c r="A93" t="s">
        <v>5942</v>
      </c>
      <c r="B93" t="s">
        <v>5943</v>
      </c>
      <c r="C93" t="s">
        <v>5944</v>
      </c>
      <c r="D93" t="s">
        <v>5945</v>
      </c>
      <c r="E93" t="s">
        <v>5946</v>
      </c>
      <c r="F93" t="s">
        <v>5947</v>
      </c>
    </row>
    <row r="94" spans="1:6" x14ac:dyDescent="0.2">
      <c r="A94" t="s">
        <v>5948</v>
      </c>
      <c r="B94" t="s">
        <v>5949</v>
      </c>
      <c r="C94" t="s">
        <v>5950</v>
      </c>
      <c r="D94" t="s">
        <v>5951</v>
      </c>
      <c r="E94" t="s">
        <v>5952</v>
      </c>
      <c r="F94" t="s">
        <v>5953</v>
      </c>
    </row>
    <row r="95" spans="1:6" x14ac:dyDescent="0.2">
      <c r="A95" t="s">
        <v>5954</v>
      </c>
      <c r="B95" t="s">
        <v>5949</v>
      </c>
      <c r="C95" t="s">
        <v>5955</v>
      </c>
      <c r="D95" t="s">
        <v>5956</v>
      </c>
      <c r="E95" t="s">
        <v>5957</v>
      </c>
      <c r="F95" t="s">
        <v>5958</v>
      </c>
    </row>
    <row r="97" spans="1:6" ht="15" x14ac:dyDescent="0.25">
      <c r="A97" s="747" t="s">
        <v>5959</v>
      </c>
      <c r="B97" s="748"/>
      <c r="C97" s="748"/>
      <c r="D97" s="748"/>
      <c r="E97" s="748"/>
      <c r="F97" s="748"/>
    </row>
    <row r="98" spans="1:6" x14ac:dyDescent="0.2">
      <c r="A98" s="768" t="s">
        <v>1971</v>
      </c>
      <c r="B98" s="768" t="s">
        <v>4543</v>
      </c>
      <c r="C98" s="768" t="s">
        <v>1188</v>
      </c>
      <c r="D98" s="768" t="s">
        <v>5960</v>
      </c>
    </row>
    <row r="99" spans="1:6" x14ac:dyDescent="0.2">
      <c r="A99" t="s">
        <v>5961</v>
      </c>
      <c r="B99" t="s">
        <v>5962</v>
      </c>
      <c r="C99" t="s">
        <v>5963</v>
      </c>
      <c r="D99" t="s">
        <v>5964</v>
      </c>
    </row>
    <row r="100" spans="1:6" x14ac:dyDescent="0.2">
      <c r="A100" t="s">
        <v>5965</v>
      </c>
      <c r="B100" t="s">
        <v>5966</v>
      </c>
      <c r="C100" t="s">
        <v>5967</v>
      </c>
      <c r="D100" t="s">
        <v>5968</v>
      </c>
    </row>
    <row r="101" spans="1:6" x14ac:dyDescent="0.2">
      <c r="A101" t="s">
        <v>5969</v>
      </c>
      <c r="B101" t="s">
        <v>5970</v>
      </c>
      <c r="C101" t="s">
        <v>5971</v>
      </c>
      <c r="D101" t="s">
        <v>5972</v>
      </c>
    </row>
    <row r="102" spans="1:6" x14ac:dyDescent="0.2">
      <c r="A102" t="s">
        <v>5973</v>
      </c>
      <c r="B102" t="s">
        <v>5974</v>
      </c>
      <c r="C102" t="s">
        <v>5975</v>
      </c>
      <c r="D102" t="s">
        <v>5976</v>
      </c>
    </row>
    <row r="103" spans="1:6" x14ac:dyDescent="0.2">
      <c r="A103" t="s">
        <v>5977</v>
      </c>
      <c r="B103" t="s">
        <v>5978</v>
      </c>
      <c r="C103" t="s">
        <v>5975</v>
      </c>
      <c r="D103" t="s">
        <v>5979</v>
      </c>
    </row>
    <row r="104" spans="1:6" x14ac:dyDescent="0.2">
      <c r="A104" t="s">
        <v>5980</v>
      </c>
      <c r="B104" t="s">
        <v>5981</v>
      </c>
      <c r="C104" t="s">
        <v>5975</v>
      </c>
      <c r="D104" t="s">
        <v>5982</v>
      </c>
    </row>
    <row r="106" spans="1:6" ht="15" x14ac:dyDescent="0.25">
      <c r="A106" s="735" t="s">
        <v>1543</v>
      </c>
      <c r="B106" s="736"/>
      <c r="C106" s="736"/>
      <c r="D106" s="736"/>
      <c r="E106" s="736"/>
      <c r="F106" s="736"/>
    </row>
    <row r="107" spans="1:6" x14ac:dyDescent="0.2">
      <c r="A107" s="475" t="s">
        <v>610</v>
      </c>
      <c r="B107" s="475" t="s">
        <v>1545</v>
      </c>
      <c r="C107" s="475" t="s">
        <v>1546</v>
      </c>
      <c r="D107" s="475" t="s">
        <v>4543</v>
      </c>
      <c r="E107" s="475" t="s">
        <v>2789</v>
      </c>
      <c r="F107" s="475" t="s">
        <v>1549</v>
      </c>
    </row>
    <row r="108" spans="1:6" x14ac:dyDescent="0.2">
      <c r="A108">
        <v>1</v>
      </c>
      <c r="B108" t="s">
        <v>5983</v>
      </c>
      <c r="C108">
        <v>1</v>
      </c>
      <c r="D108" t="s">
        <v>5984</v>
      </c>
      <c r="E108" t="s">
        <v>5985</v>
      </c>
      <c r="F108" t="s">
        <v>4073</v>
      </c>
    </row>
    <row r="109" spans="1:6" x14ac:dyDescent="0.2">
      <c r="A109">
        <v>2</v>
      </c>
      <c r="B109" t="s">
        <v>5986</v>
      </c>
      <c r="C109">
        <v>7</v>
      </c>
      <c r="D109" t="s">
        <v>5987</v>
      </c>
      <c r="E109" t="s">
        <v>5988</v>
      </c>
      <c r="F109" t="s">
        <v>5989</v>
      </c>
    </row>
    <row r="110" spans="1:6" x14ac:dyDescent="0.2">
      <c r="A110">
        <v>3</v>
      </c>
      <c r="B110" t="s">
        <v>5990</v>
      </c>
      <c r="C110">
        <v>5</v>
      </c>
      <c r="D110" t="s">
        <v>5991</v>
      </c>
      <c r="E110" t="s">
        <v>5992</v>
      </c>
      <c r="F110" t="s">
        <v>4247</v>
      </c>
    </row>
    <row r="111" spans="1:6" x14ac:dyDescent="0.2">
      <c r="A111">
        <v>4</v>
      </c>
      <c r="B111" t="s">
        <v>5993</v>
      </c>
      <c r="C111">
        <v>1</v>
      </c>
      <c r="D111" t="s">
        <v>5994</v>
      </c>
      <c r="E111" t="s">
        <v>5995</v>
      </c>
      <c r="F111" t="s">
        <v>4085</v>
      </c>
    </row>
    <row r="112" spans="1:6" x14ac:dyDescent="0.2">
      <c r="A112">
        <v>5</v>
      </c>
      <c r="B112" t="s">
        <v>5996</v>
      </c>
      <c r="C112">
        <v>1</v>
      </c>
      <c r="D112" t="s">
        <v>5997</v>
      </c>
      <c r="E112" t="s">
        <v>5998</v>
      </c>
      <c r="F112" t="s">
        <v>5999</v>
      </c>
    </row>
    <row r="113" spans="1:6" x14ac:dyDescent="0.2">
      <c r="A113">
        <v>6</v>
      </c>
      <c r="B113" t="s">
        <v>6000</v>
      </c>
      <c r="C113">
        <v>3</v>
      </c>
      <c r="D113" t="s">
        <v>6001</v>
      </c>
      <c r="E113" t="s">
        <v>6002</v>
      </c>
      <c r="F113" t="s">
        <v>6003</v>
      </c>
    </row>
    <row r="114" spans="1:6" x14ac:dyDescent="0.2">
      <c r="A114">
        <v>7</v>
      </c>
      <c r="B114" t="s">
        <v>6004</v>
      </c>
      <c r="C114">
        <v>1</v>
      </c>
      <c r="D114" t="s">
        <v>6005</v>
      </c>
      <c r="E114" t="s">
        <v>6006</v>
      </c>
      <c r="F114" t="s">
        <v>4073</v>
      </c>
    </row>
    <row r="115" spans="1:6" x14ac:dyDescent="0.2">
      <c r="A115">
        <v>8</v>
      </c>
      <c r="B115" t="s">
        <v>6007</v>
      </c>
      <c r="C115">
        <v>1</v>
      </c>
      <c r="D115" t="s">
        <v>6008</v>
      </c>
      <c r="E115" t="s">
        <v>6009</v>
      </c>
      <c r="F115" t="s">
        <v>4069</v>
      </c>
    </row>
    <row r="116" spans="1:6" x14ac:dyDescent="0.2">
      <c r="A116">
        <v>9</v>
      </c>
      <c r="B116" t="s">
        <v>6010</v>
      </c>
      <c r="C116" t="s">
        <v>6011</v>
      </c>
      <c r="D116" t="s">
        <v>6012</v>
      </c>
      <c r="E116" t="s">
        <v>6013</v>
      </c>
      <c r="F116" t="s">
        <v>4263</v>
      </c>
    </row>
    <row r="117" spans="1:6" x14ac:dyDescent="0.2">
      <c r="A117">
        <v>10</v>
      </c>
      <c r="B117" t="s">
        <v>6014</v>
      </c>
      <c r="C117">
        <v>1</v>
      </c>
      <c r="D117" t="s">
        <v>6015</v>
      </c>
      <c r="E117" t="s">
        <v>6016</v>
      </c>
      <c r="F117" t="s">
        <v>4065</v>
      </c>
    </row>
    <row r="118" spans="1:6" x14ac:dyDescent="0.2">
      <c r="A118">
        <v>11</v>
      </c>
      <c r="B118" t="s">
        <v>6017</v>
      </c>
      <c r="C118">
        <v>1</v>
      </c>
      <c r="D118" t="s">
        <v>6018</v>
      </c>
      <c r="E118" t="s">
        <v>6019</v>
      </c>
      <c r="F118" t="s">
        <v>6020</v>
      </c>
    </row>
    <row r="119" spans="1:6" x14ac:dyDescent="0.2">
      <c r="B119" s="472" t="s">
        <v>6021</v>
      </c>
      <c r="F119" s="472" t="s">
        <v>6022</v>
      </c>
    </row>
    <row r="121" spans="1:6" ht="15" x14ac:dyDescent="0.25">
      <c r="A121" s="751" t="s">
        <v>1849</v>
      </c>
      <c r="B121" s="752"/>
      <c r="C121" s="752"/>
      <c r="D121" s="752"/>
      <c r="E121" s="752"/>
      <c r="F121" s="752"/>
    </row>
    <row r="122" spans="1:6" x14ac:dyDescent="0.2">
      <c r="A122" t="s">
        <v>6023</v>
      </c>
      <c r="B122" s="472"/>
    </row>
    <row r="123" spans="1:6" x14ac:dyDescent="0.2">
      <c r="A123" t="s">
        <v>6024</v>
      </c>
    </row>
    <row r="124" spans="1:6" x14ac:dyDescent="0.2">
      <c r="A124" t="s">
        <v>6025</v>
      </c>
    </row>
    <row r="125" spans="1:6" x14ac:dyDescent="0.2">
      <c r="A125" t="s">
        <v>6026</v>
      </c>
    </row>
    <row r="126" spans="1:6" x14ac:dyDescent="0.2">
      <c r="A126" t="s">
        <v>6027</v>
      </c>
    </row>
    <row r="127" spans="1:6" x14ac:dyDescent="0.2">
      <c r="A127" t="s">
        <v>6028</v>
      </c>
    </row>
    <row r="128" spans="1:6" x14ac:dyDescent="0.2">
      <c r="A128" t="s">
        <v>6029</v>
      </c>
    </row>
    <row r="129" spans="1:1" x14ac:dyDescent="0.2">
      <c r="A129" t="s">
        <v>6030</v>
      </c>
    </row>
    <row r="130" spans="1:1" x14ac:dyDescent="0.2">
      <c r="A130" t="s">
        <v>6031</v>
      </c>
    </row>
    <row r="131" spans="1:1" x14ac:dyDescent="0.2">
      <c r="A131" t="s">
        <v>6032</v>
      </c>
    </row>
    <row r="132" spans="1:1" x14ac:dyDescent="0.2">
      <c r="A132" t="s">
        <v>6033</v>
      </c>
    </row>
    <row r="133" spans="1:1" x14ac:dyDescent="0.2">
      <c r="A133" t="s">
        <v>6034</v>
      </c>
    </row>
    <row r="134" spans="1:1" x14ac:dyDescent="0.2">
      <c r="A134" t="s">
        <v>6035</v>
      </c>
    </row>
    <row r="135" spans="1:1" x14ac:dyDescent="0.2">
      <c r="A135" t="s">
        <v>6036</v>
      </c>
    </row>
    <row r="136" spans="1:1" x14ac:dyDescent="0.2">
      <c r="A136" t="s">
        <v>6037</v>
      </c>
    </row>
    <row r="137" spans="1:1" x14ac:dyDescent="0.2">
      <c r="A137" t="s">
        <v>6038</v>
      </c>
    </row>
    <row r="138" spans="1:1" x14ac:dyDescent="0.2">
      <c r="A138" t="s">
        <v>6039</v>
      </c>
    </row>
    <row r="139" spans="1:1" x14ac:dyDescent="0.2">
      <c r="A139" t="s">
        <v>6040</v>
      </c>
    </row>
    <row r="140" spans="1:1" x14ac:dyDescent="0.2">
      <c r="A140" t="s">
        <v>6041</v>
      </c>
    </row>
    <row r="141" spans="1:1" x14ac:dyDescent="0.2">
      <c r="A141" t="s">
        <v>6042</v>
      </c>
    </row>
    <row r="142" spans="1:1" x14ac:dyDescent="0.2">
      <c r="A142" t="s">
        <v>6043</v>
      </c>
    </row>
    <row r="143" spans="1:1" x14ac:dyDescent="0.2">
      <c r="A143" t="s">
        <v>6044</v>
      </c>
    </row>
    <row r="144" spans="1:1" x14ac:dyDescent="0.2">
      <c r="A144" t="s">
        <v>6045</v>
      </c>
    </row>
    <row r="146" spans="1:6" ht="15" x14ac:dyDescent="0.25">
      <c r="A146" s="784" t="s">
        <v>1532</v>
      </c>
      <c r="B146" s="785"/>
      <c r="C146" s="785"/>
      <c r="D146" s="785"/>
      <c r="E146" s="785"/>
      <c r="F146" s="785"/>
    </row>
    <row r="147" spans="1:6" x14ac:dyDescent="0.2">
      <c r="A147" t="s">
        <v>6046</v>
      </c>
    </row>
    <row r="148" spans="1:6" x14ac:dyDescent="0.2">
      <c r="A148" t="s">
        <v>6047</v>
      </c>
    </row>
    <row r="149" spans="1:6" x14ac:dyDescent="0.2">
      <c r="A149" t="s">
        <v>6048</v>
      </c>
    </row>
    <row r="150" spans="1:6" x14ac:dyDescent="0.2">
      <c r="A150" t="s">
        <v>6049</v>
      </c>
    </row>
    <row r="151" spans="1:6" x14ac:dyDescent="0.2">
      <c r="A151" t="s">
        <v>6050</v>
      </c>
    </row>
    <row r="152" spans="1:6" x14ac:dyDescent="0.2">
      <c r="A152" t="s">
        <v>6051</v>
      </c>
    </row>
    <row r="153" spans="1:6" x14ac:dyDescent="0.2">
      <c r="A153" t="s">
        <v>6052</v>
      </c>
    </row>
    <row r="154" spans="1:6" x14ac:dyDescent="0.2">
      <c r="A154" t="s">
        <v>6053</v>
      </c>
    </row>
    <row r="155" spans="1:6" x14ac:dyDescent="0.2">
      <c r="A155" t="s">
        <v>6054</v>
      </c>
    </row>
    <row r="156" spans="1:6" x14ac:dyDescent="0.2">
      <c r="A156" t="s">
        <v>6055</v>
      </c>
    </row>
    <row r="157" spans="1:6" x14ac:dyDescent="0.2">
      <c r="A157" t="s">
        <v>6056</v>
      </c>
    </row>
    <row r="158" spans="1:6" x14ac:dyDescent="0.2">
      <c r="A158" t="s">
        <v>6057</v>
      </c>
    </row>
    <row r="159" spans="1:6" x14ac:dyDescent="0.2">
      <c r="A159" t="s">
        <v>6058</v>
      </c>
    </row>
    <row r="162" spans="1:1" ht="18" x14ac:dyDescent="0.25">
      <c r="A162" s="833" t="s">
        <v>6588</v>
      </c>
    </row>
    <row r="163" spans="1:1" x14ac:dyDescent="0.2">
      <c r="A163" s="734" t="s">
        <v>6589</v>
      </c>
    </row>
    <row r="165" spans="1:1" x14ac:dyDescent="0.2">
      <c r="A165" s="609" t="s">
        <v>6324</v>
      </c>
    </row>
    <row r="166" spans="1:1" x14ac:dyDescent="0.2">
      <c r="A166" t="s">
        <v>6590</v>
      </c>
    </row>
    <row r="167" spans="1:1" x14ac:dyDescent="0.2">
      <c r="A167" t="s">
        <v>6591</v>
      </c>
    </row>
    <row r="168" spans="1:1" x14ac:dyDescent="0.2">
      <c r="A168" t="s">
        <v>6592</v>
      </c>
    </row>
    <row r="169" spans="1:1" x14ac:dyDescent="0.2">
      <c r="A169" t="s">
        <v>6593</v>
      </c>
    </row>
    <row r="171" spans="1:1" x14ac:dyDescent="0.2">
      <c r="A171" s="609" t="s">
        <v>6594</v>
      </c>
    </row>
    <row r="172" spans="1:1" x14ac:dyDescent="0.2">
      <c r="A172" t="s">
        <v>6595</v>
      </c>
    </row>
    <row r="173" spans="1:1" x14ac:dyDescent="0.2">
      <c r="A173" t="s">
        <v>6596</v>
      </c>
    </row>
    <row r="174" spans="1:1" x14ac:dyDescent="0.2">
      <c r="A174" t="s">
        <v>6597</v>
      </c>
    </row>
    <row r="175" spans="1:1" x14ac:dyDescent="0.2">
      <c r="A175" t="s">
        <v>6598</v>
      </c>
    </row>
    <row r="177" spans="1:1" x14ac:dyDescent="0.2">
      <c r="A177" s="609" t="s">
        <v>6599</v>
      </c>
    </row>
    <row r="178" spans="1:1" x14ac:dyDescent="0.2">
      <c r="A178" t="s">
        <v>6600</v>
      </c>
    </row>
    <row r="179" spans="1:1" x14ac:dyDescent="0.2">
      <c r="A179" t="s">
        <v>6601</v>
      </c>
    </row>
    <row r="180" spans="1:1" x14ac:dyDescent="0.2">
      <c r="A180" t="s">
        <v>6602</v>
      </c>
    </row>
    <row r="181" spans="1:1" x14ac:dyDescent="0.2">
      <c r="A181" t="s">
        <v>6603</v>
      </c>
    </row>
    <row r="183" spans="1:1" x14ac:dyDescent="0.2">
      <c r="A183" s="609" t="s">
        <v>6604</v>
      </c>
    </row>
    <row r="184" spans="1:1" x14ac:dyDescent="0.2">
      <c r="A184" t="s">
        <v>6605</v>
      </c>
    </row>
    <row r="185" spans="1:1" x14ac:dyDescent="0.2">
      <c r="A185" t="s">
        <v>6606</v>
      </c>
    </row>
    <row r="186" spans="1:1" x14ac:dyDescent="0.2">
      <c r="A186" t="s">
        <v>6607</v>
      </c>
    </row>
    <row r="187" spans="1:1" x14ac:dyDescent="0.2">
      <c r="A187" t="s">
        <v>6608</v>
      </c>
    </row>
    <row r="189" spans="1:1" x14ac:dyDescent="0.2">
      <c r="A189" s="609" t="s">
        <v>6425</v>
      </c>
    </row>
    <row r="190" spans="1:1" x14ac:dyDescent="0.2">
      <c r="A190" t="s">
        <v>6609</v>
      </c>
    </row>
    <row r="191" spans="1:1" x14ac:dyDescent="0.2">
      <c r="A191" t="s">
        <v>6610</v>
      </c>
    </row>
    <row r="192" spans="1:1" x14ac:dyDescent="0.2">
      <c r="A192" t="s">
        <v>6611</v>
      </c>
    </row>
    <row r="194" spans="1:1" x14ac:dyDescent="0.2">
      <c r="A194" s="609" t="s">
        <v>6492</v>
      </c>
    </row>
    <row r="195" spans="1:1" x14ac:dyDescent="0.2">
      <c r="A195" t="s">
        <v>6612</v>
      </c>
    </row>
    <row r="196" spans="1:1" x14ac:dyDescent="0.2">
      <c r="A196" t="s">
        <v>6613</v>
      </c>
    </row>
    <row r="197" spans="1:1" x14ac:dyDescent="0.2">
      <c r="A197" t="s">
        <v>6614</v>
      </c>
    </row>
    <row r="198" spans="1:1" x14ac:dyDescent="0.2">
      <c r="A198" t="s">
        <v>6615</v>
      </c>
    </row>
    <row r="200" spans="1:1" x14ac:dyDescent="0.2">
      <c r="A200" s="609" t="s">
        <v>6433</v>
      </c>
    </row>
    <row r="201" spans="1:1" x14ac:dyDescent="0.2">
      <c r="A201" t="s">
        <v>6616</v>
      </c>
    </row>
    <row r="202" spans="1:1" x14ac:dyDescent="0.2">
      <c r="A202" t="s">
        <v>6560</v>
      </c>
    </row>
    <row r="205" spans="1:1" ht="18" x14ac:dyDescent="0.25">
      <c r="A205" s="838" t="s">
        <v>7197</v>
      </c>
    </row>
    <row r="206" spans="1:1" x14ac:dyDescent="0.2">
      <c r="A206" s="734" t="s">
        <v>7131</v>
      </c>
    </row>
    <row r="208" spans="1:1" x14ac:dyDescent="0.2">
      <c r="A208" s="839" t="s">
        <v>7132</v>
      </c>
    </row>
    <row r="209" spans="1:1" x14ac:dyDescent="0.2">
      <c r="A209" t="s">
        <v>7198</v>
      </c>
    </row>
    <row r="210" spans="1:1" x14ac:dyDescent="0.2">
      <c r="A210" t="s">
        <v>7199</v>
      </c>
    </row>
    <row r="211" spans="1:1" x14ac:dyDescent="0.2">
      <c r="A211" t="s">
        <v>7200</v>
      </c>
    </row>
    <row r="212" spans="1:1" x14ac:dyDescent="0.2">
      <c r="A212" t="s">
        <v>7201</v>
      </c>
    </row>
    <row r="213" spans="1:1" x14ac:dyDescent="0.2">
      <c r="A213" t="s">
        <v>7202</v>
      </c>
    </row>
    <row r="214" spans="1:1" x14ac:dyDescent="0.2">
      <c r="A214" t="s">
        <v>7203</v>
      </c>
    </row>
  </sheetData>
  <pageMargins left="0.7" right="0.7" top="0.75" bottom="0.75" header="0.3" footer="0.3"/>
  <legacyDrawing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24F92-10F8-4E40-B3FA-AF11A4EDDD2C}">
  <dimension ref="A1:H162"/>
  <sheetViews>
    <sheetView workbookViewId="0">
      <pane ySplit="3" topLeftCell="A39" activePane="bottomLeft" state="frozen"/>
      <selection pane="bottomLeft" activeCell="K63" sqref="K63"/>
    </sheetView>
  </sheetViews>
  <sheetFormatPr defaultRowHeight="12.75" x14ac:dyDescent="0.2"/>
  <cols>
    <col min="1" max="1" width="137.140625" customWidth="1"/>
    <col min="2" max="2" width="30.42578125" customWidth="1"/>
    <col min="3" max="5" width="38.140625" customWidth="1"/>
    <col min="6" max="6" width="19" customWidth="1"/>
    <col min="7" max="7" width="15.28515625" customWidth="1"/>
    <col min="8" max="8" width="22.85546875" customWidth="1"/>
  </cols>
  <sheetData>
    <row r="1" spans="1:8" ht="18" x14ac:dyDescent="0.25">
      <c r="A1" s="470" t="s">
        <v>6152</v>
      </c>
    </row>
    <row r="2" spans="1:8" x14ac:dyDescent="0.2">
      <c r="A2" s="734" t="s">
        <v>6153</v>
      </c>
    </row>
    <row r="4" spans="1:8" ht="15" x14ac:dyDescent="0.25">
      <c r="A4" s="794" t="s">
        <v>6154</v>
      </c>
      <c r="B4" s="795"/>
      <c r="C4" s="795"/>
      <c r="D4" s="795"/>
      <c r="E4" s="795"/>
      <c r="F4" s="795"/>
      <c r="G4" s="795"/>
      <c r="H4" s="795"/>
    </row>
    <row r="5" spans="1:8" x14ac:dyDescent="0.2">
      <c r="A5" t="s">
        <v>6155</v>
      </c>
    </row>
    <row r="6" spans="1:8" x14ac:dyDescent="0.2">
      <c r="A6" s="609" t="s">
        <v>6156</v>
      </c>
      <c r="B6" s="609" t="s">
        <v>6157</v>
      </c>
      <c r="C6" s="609" t="s">
        <v>6158</v>
      </c>
      <c r="D6" s="609" t="s">
        <v>6159</v>
      </c>
      <c r="E6" s="609" t="s">
        <v>6160</v>
      </c>
    </row>
    <row r="7" spans="1:8" x14ac:dyDescent="0.2">
      <c r="A7" t="s">
        <v>6161</v>
      </c>
      <c r="B7" t="s">
        <v>6162</v>
      </c>
      <c r="C7" t="s">
        <v>6163</v>
      </c>
      <c r="D7" t="s">
        <v>6164</v>
      </c>
      <c r="E7" t="s">
        <v>6165</v>
      </c>
    </row>
    <row r="8" spans="1:8" x14ac:dyDescent="0.2">
      <c r="A8" t="s">
        <v>6166</v>
      </c>
      <c r="B8" t="s">
        <v>6167</v>
      </c>
      <c r="C8" t="s">
        <v>6168</v>
      </c>
      <c r="D8" t="s">
        <v>6169</v>
      </c>
      <c r="E8" t="s">
        <v>6170</v>
      </c>
    </row>
    <row r="9" spans="1:8" x14ac:dyDescent="0.2">
      <c r="A9" t="s">
        <v>6171</v>
      </c>
      <c r="B9" t="s">
        <v>6172</v>
      </c>
      <c r="C9" t="s">
        <v>6173</v>
      </c>
      <c r="D9" t="s">
        <v>6174</v>
      </c>
      <c r="E9" t="s">
        <v>6175</v>
      </c>
    </row>
    <row r="11" spans="1:8" ht="15" x14ac:dyDescent="0.25">
      <c r="A11" s="743" t="s">
        <v>6176</v>
      </c>
      <c r="B11" s="744"/>
      <c r="C11" s="744"/>
      <c r="D11" s="744"/>
      <c r="E11" s="744"/>
      <c r="F11" s="744"/>
      <c r="G11" s="744"/>
      <c r="H11" s="744"/>
    </row>
    <row r="12" spans="1:8" x14ac:dyDescent="0.2">
      <c r="A12" s="486" t="s">
        <v>1188</v>
      </c>
      <c r="B12" s="486" t="s">
        <v>1243</v>
      </c>
      <c r="C12" s="486" t="s">
        <v>1244</v>
      </c>
      <c r="D12" s="486" t="s">
        <v>1245</v>
      </c>
      <c r="E12" s="486" t="s">
        <v>6177</v>
      </c>
      <c r="F12" s="486" t="s">
        <v>6178</v>
      </c>
      <c r="G12" s="486" t="s">
        <v>6179</v>
      </c>
      <c r="H12" s="486" t="s">
        <v>6180</v>
      </c>
    </row>
    <row r="13" spans="1:8" x14ac:dyDescent="0.2">
      <c r="A13" t="s">
        <v>6181</v>
      </c>
      <c r="B13">
        <v>7.7</v>
      </c>
      <c r="C13">
        <v>370</v>
      </c>
      <c r="D13" s="662">
        <v>29010</v>
      </c>
      <c r="E13" s="662">
        <v>4101</v>
      </c>
      <c r="F13" t="s">
        <v>6182</v>
      </c>
      <c r="G13" t="s">
        <v>6183</v>
      </c>
      <c r="H13" t="s">
        <v>613</v>
      </c>
    </row>
    <row r="14" spans="1:8" x14ac:dyDescent="0.2">
      <c r="A14" t="s">
        <v>378</v>
      </c>
      <c r="B14">
        <v>10.1</v>
      </c>
      <c r="C14">
        <v>590</v>
      </c>
      <c r="D14" s="662">
        <v>26311</v>
      </c>
      <c r="E14" s="662">
        <v>5931</v>
      </c>
      <c r="F14" t="s">
        <v>6184</v>
      </c>
      <c r="G14" t="s">
        <v>6185</v>
      </c>
      <c r="H14" t="s">
        <v>613</v>
      </c>
    </row>
    <row r="15" spans="1:8" x14ac:dyDescent="0.2">
      <c r="A15" t="s">
        <v>464</v>
      </c>
      <c r="B15">
        <v>10.3</v>
      </c>
      <c r="C15">
        <v>560</v>
      </c>
      <c r="D15" s="662">
        <v>27272</v>
      </c>
      <c r="E15" s="662">
        <v>5835</v>
      </c>
      <c r="F15" t="s">
        <v>3721</v>
      </c>
      <c r="G15" t="s">
        <v>6186</v>
      </c>
      <c r="H15" t="s">
        <v>613</v>
      </c>
    </row>
    <row r="16" spans="1:8" x14ac:dyDescent="0.2">
      <c r="A16" t="s">
        <v>1248</v>
      </c>
      <c r="B16">
        <v>11</v>
      </c>
      <c r="C16">
        <v>745</v>
      </c>
      <c r="D16" s="662">
        <v>24435</v>
      </c>
      <c r="E16" s="662">
        <v>6955</v>
      </c>
      <c r="F16" t="s">
        <v>6187</v>
      </c>
      <c r="G16" t="s">
        <v>6188</v>
      </c>
      <c r="H16" t="s">
        <v>613</v>
      </c>
    </row>
    <row r="17" spans="1:8" x14ac:dyDescent="0.2">
      <c r="A17" t="s">
        <v>2687</v>
      </c>
      <c r="B17">
        <v>11.6</v>
      </c>
      <c r="C17">
        <v>610</v>
      </c>
      <c r="D17" s="662">
        <v>27731</v>
      </c>
      <c r="E17" s="662">
        <v>6463</v>
      </c>
      <c r="F17" t="s">
        <v>3721</v>
      </c>
      <c r="G17" t="s">
        <v>6189</v>
      </c>
      <c r="H17" t="s">
        <v>613</v>
      </c>
    </row>
    <row r="18" spans="1:8" x14ac:dyDescent="0.2">
      <c r="A18" t="s">
        <v>386</v>
      </c>
      <c r="B18">
        <v>12.6</v>
      </c>
      <c r="C18">
        <v>705</v>
      </c>
      <c r="D18" s="662">
        <v>26884</v>
      </c>
      <c r="E18" s="662">
        <v>7241</v>
      </c>
      <c r="F18" t="s">
        <v>6187</v>
      </c>
      <c r="G18" t="s">
        <v>6190</v>
      </c>
      <c r="H18" t="s">
        <v>613</v>
      </c>
    </row>
    <row r="19" spans="1:8" x14ac:dyDescent="0.2">
      <c r="A19" t="s">
        <v>1251</v>
      </c>
      <c r="B19">
        <v>15.8</v>
      </c>
      <c r="C19">
        <v>870</v>
      </c>
      <c r="D19" s="662">
        <v>27100</v>
      </c>
      <c r="E19" s="662">
        <v>9008</v>
      </c>
      <c r="F19" t="s">
        <v>6191</v>
      </c>
      <c r="G19" t="s">
        <v>6192</v>
      </c>
      <c r="H19" t="s">
        <v>613</v>
      </c>
    </row>
    <row r="20" spans="1:8" x14ac:dyDescent="0.2">
      <c r="A20" t="s">
        <v>6193</v>
      </c>
      <c r="B20">
        <v>21</v>
      </c>
      <c r="C20">
        <v>1100</v>
      </c>
      <c r="D20" s="662">
        <v>27785</v>
      </c>
      <c r="E20" s="662">
        <v>11677</v>
      </c>
      <c r="F20" t="s">
        <v>6194</v>
      </c>
      <c r="G20" t="s">
        <v>6195</v>
      </c>
      <c r="H20" t="s">
        <v>613</v>
      </c>
    </row>
    <row r="21" spans="1:8" x14ac:dyDescent="0.2">
      <c r="A21" t="s">
        <v>5931</v>
      </c>
      <c r="B21">
        <v>17</v>
      </c>
      <c r="C21">
        <v>1270</v>
      </c>
      <c r="D21" s="662">
        <v>23266</v>
      </c>
      <c r="E21" s="662">
        <v>11289</v>
      </c>
      <c r="F21" t="s">
        <v>6194</v>
      </c>
      <c r="G21" t="s">
        <v>6196</v>
      </c>
      <c r="H21" t="s">
        <v>613</v>
      </c>
    </row>
    <row r="22" spans="1:8" x14ac:dyDescent="0.2">
      <c r="A22" t="s">
        <v>4181</v>
      </c>
      <c r="B22">
        <v>200</v>
      </c>
      <c r="C22">
        <v>7850</v>
      </c>
      <c r="D22" s="662">
        <v>32098</v>
      </c>
      <c r="E22" s="662">
        <v>96266</v>
      </c>
      <c r="F22" t="s">
        <v>6194</v>
      </c>
      <c r="G22" t="s">
        <v>6197</v>
      </c>
      <c r="H22" t="s">
        <v>6198</v>
      </c>
    </row>
    <row r="23" spans="1:8" x14ac:dyDescent="0.2">
      <c r="A23" t="s">
        <v>4985</v>
      </c>
      <c r="B23">
        <v>68.900000000000006</v>
      </c>
      <c r="C23">
        <v>2700</v>
      </c>
      <c r="D23" s="662">
        <v>32124</v>
      </c>
      <c r="E23" s="662">
        <v>33137</v>
      </c>
      <c r="F23" t="s">
        <v>6194</v>
      </c>
      <c r="G23" t="s">
        <v>6199</v>
      </c>
      <c r="H23" t="s">
        <v>6198</v>
      </c>
    </row>
    <row r="24" spans="1:8" x14ac:dyDescent="0.2">
      <c r="A24" t="s">
        <v>5003</v>
      </c>
      <c r="B24">
        <v>110</v>
      </c>
      <c r="C24">
        <v>8530</v>
      </c>
      <c r="D24" s="662">
        <v>22836</v>
      </c>
      <c r="E24" s="662">
        <v>74421</v>
      </c>
      <c r="F24" t="s">
        <v>6191</v>
      </c>
      <c r="G24" t="s">
        <v>6200</v>
      </c>
      <c r="H24" t="s">
        <v>6198</v>
      </c>
    </row>
    <row r="25" spans="1:8" x14ac:dyDescent="0.2">
      <c r="A25" s="796" t="s">
        <v>6201</v>
      </c>
      <c r="B25" s="796">
        <v>25</v>
      </c>
      <c r="C25" s="796">
        <v>1800</v>
      </c>
      <c r="D25" s="797">
        <v>23699</v>
      </c>
      <c r="E25" s="797">
        <v>16298</v>
      </c>
      <c r="F25" s="796" t="s">
        <v>6202</v>
      </c>
      <c r="G25" s="796" t="s">
        <v>6203</v>
      </c>
      <c r="H25" s="796" t="s">
        <v>6204</v>
      </c>
    </row>
    <row r="26" spans="1:8" x14ac:dyDescent="0.2">
      <c r="A26" s="796" t="s">
        <v>6205</v>
      </c>
      <c r="B26" s="796">
        <v>65</v>
      </c>
      <c r="C26" s="796">
        <v>2300</v>
      </c>
      <c r="D26" s="797">
        <v>33806</v>
      </c>
      <c r="E26" s="797">
        <v>29706</v>
      </c>
      <c r="F26" s="796" t="s">
        <v>6191</v>
      </c>
      <c r="G26" s="796" t="s">
        <v>6206</v>
      </c>
      <c r="H26" s="796" t="s">
        <v>6204</v>
      </c>
    </row>
    <row r="27" spans="1:8" x14ac:dyDescent="0.2">
      <c r="A27" s="796" t="s">
        <v>5565</v>
      </c>
      <c r="B27" s="796">
        <v>75</v>
      </c>
      <c r="C27" s="796">
        <v>2400</v>
      </c>
      <c r="D27" s="797">
        <v>35549</v>
      </c>
      <c r="E27" s="797">
        <v>32596</v>
      </c>
      <c r="F27" s="796" t="s">
        <v>6194</v>
      </c>
      <c r="G27" s="796" t="s">
        <v>6207</v>
      </c>
      <c r="H27" s="796" t="s">
        <v>6204</v>
      </c>
    </row>
    <row r="28" spans="1:8" x14ac:dyDescent="0.2">
      <c r="A28" s="796" t="s">
        <v>6208</v>
      </c>
      <c r="B28" s="796">
        <v>70</v>
      </c>
      <c r="C28" s="796">
        <v>2200</v>
      </c>
      <c r="D28" s="797">
        <v>35870</v>
      </c>
      <c r="E28" s="797">
        <v>30150</v>
      </c>
      <c r="F28" s="796" t="s">
        <v>6191</v>
      </c>
      <c r="G28" s="796" t="s">
        <v>6209</v>
      </c>
      <c r="H28" s="796" t="s">
        <v>6204</v>
      </c>
    </row>
    <row r="30" spans="1:8" ht="15" x14ac:dyDescent="0.25">
      <c r="A30" s="781" t="s">
        <v>1443</v>
      </c>
      <c r="B30" s="782"/>
      <c r="C30" s="782"/>
      <c r="D30" s="782"/>
      <c r="E30" s="782"/>
    </row>
    <row r="31" spans="1:8" x14ac:dyDescent="0.2">
      <c r="A31" s="796" t="s">
        <v>3936</v>
      </c>
      <c r="B31" s="565">
        <v>12</v>
      </c>
    </row>
    <row r="32" spans="1:8" x14ac:dyDescent="0.2">
      <c r="A32" s="796" t="s">
        <v>3938</v>
      </c>
      <c r="B32" s="565">
        <v>6</v>
      </c>
    </row>
    <row r="33" spans="1:5" x14ac:dyDescent="0.2">
      <c r="A33" s="796" t="s">
        <v>6210</v>
      </c>
      <c r="B33" s="596">
        <v>0.19700000000000001</v>
      </c>
      <c r="C33" t="s">
        <v>6211</v>
      </c>
    </row>
    <row r="34" spans="1:5" x14ac:dyDescent="0.2">
      <c r="A34" s="796" t="s">
        <v>6212</v>
      </c>
      <c r="B34" s="596">
        <v>0.04</v>
      </c>
    </row>
    <row r="35" spans="1:5" x14ac:dyDescent="0.2">
      <c r="A35" s="796" t="s">
        <v>3737</v>
      </c>
      <c r="B35" s="564">
        <v>11</v>
      </c>
    </row>
    <row r="36" spans="1:5" x14ac:dyDescent="0.2">
      <c r="A36" s="796" t="s">
        <v>1266</v>
      </c>
      <c r="B36" s="565">
        <v>1</v>
      </c>
    </row>
    <row r="37" spans="1:5" x14ac:dyDescent="0.2">
      <c r="A37" s="796" t="s">
        <v>994</v>
      </c>
      <c r="B37" s="564" t="s">
        <v>3953</v>
      </c>
    </row>
    <row r="38" spans="1:5" x14ac:dyDescent="0.2">
      <c r="A38" s="796" t="s">
        <v>5401</v>
      </c>
      <c r="B38" s="564" t="s">
        <v>5682</v>
      </c>
    </row>
    <row r="39" spans="1:5" x14ac:dyDescent="0.2">
      <c r="A39" s="796" t="s">
        <v>1243</v>
      </c>
      <c r="B39" s="564">
        <v>65</v>
      </c>
    </row>
    <row r="40" spans="1:5" x14ac:dyDescent="0.2">
      <c r="A40" s="796" t="s">
        <v>1244</v>
      </c>
      <c r="B40" s="564">
        <v>2300</v>
      </c>
    </row>
    <row r="41" spans="1:5" x14ac:dyDescent="0.2">
      <c r="A41" s="796" t="s">
        <v>1245</v>
      </c>
      <c r="B41" s="662">
        <f>(1.875^2/(2*PI()))*SQRT(B39*1000000000/(12*B40))/0.0254</f>
        <v>33805.790553930463</v>
      </c>
      <c r="C41" t="s">
        <v>6213</v>
      </c>
    </row>
    <row r="42" spans="1:5" x14ac:dyDescent="0.2">
      <c r="A42" s="796" t="s">
        <v>5683</v>
      </c>
      <c r="B42" s="783">
        <v>0.12</v>
      </c>
    </row>
    <row r="44" spans="1:5" ht="15" x14ac:dyDescent="0.25">
      <c r="A44" s="747" t="s">
        <v>6214</v>
      </c>
      <c r="B44" s="748"/>
      <c r="C44" s="748"/>
      <c r="D44" s="748"/>
      <c r="E44" s="748"/>
    </row>
    <row r="45" spans="1:5" x14ac:dyDescent="0.2">
      <c r="A45" s="796" t="s">
        <v>6215</v>
      </c>
    </row>
    <row r="46" spans="1:5" x14ac:dyDescent="0.2">
      <c r="A46" s="768" t="s">
        <v>6216</v>
      </c>
      <c r="B46" s="768" t="s">
        <v>6217</v>
      </c>
      <c r="C46" s="768" t="s">
        <v>6218</v>
      </c>
      <c r="D46" s="768" t="s">
        <v>6219</v>
      </c>
      <c r="E46" s="768" t="s">
        <v>3963</v>
      </c>
    </row>
    <row r="47" spans="1:5" x14ac:dyDescent="0.2">
      <c r="A47" t="s">
        <v>6220</v>
      </c>
      <c r="B47">
        <v>1.875</v>
      </c>
      <c r="C47" s="469">
        <v>1</v>
      </c>
      <c r="D47" s="540">
        <v>440</v>
      </c>
      <c r="E47" t="s">
        <v>29</v>
      </c>
    </row>
    <row r="48" spans="1:5" x14ac:dyDescent="0.2">
      <c r="A48">
        <v>2</v>
      </c>
      <c r="B48">
        <v>4.694</v>
      </c>
      <c r="C48" s="469">
        <f>(B48/1.875)^2</f>
        <v>6.2673453511111115</v>
      </c>
      <c r="D48" s="540">
        <f>440*C48</f>
        <v>2757.6319544888888</v>
      </c>
      <c r="E48" t="s">
        <v>6221</v>
      </c>
    </row>
    <row r="49" spans="1:8" x14ac:dyDescent="0.2">
      <c r="A49">
        <v>3</v>
      </c>
      <c r="B49">
        <v>7.8550000000000004</v>
      </c>
      <c r="C49" s="469">
        <f>(B49/1.875)^2</f>
        <v>17.55051377777778</v>
      </c>
      <c r="D49" s="540">
        <f>440*C49</f>
        <v>7722.2260622222238</v>
      </c>
      <c r="E49" t="s">
        <v>6222</v>
      </c>
    </row>
    <row r="50" spans="1:8" x14ac:dyDescent="0.2">
      <c r="A50">
        <v>4</v>
      </c>
      <c r="B50">
        <v>10.996</v>
      </c>
      <c r="C50" s="469">
        <f>(B50/1.875)^2</f>
        <v>34.392751217777779</v>
      </c>
      <c r="D50" s="540">
        <f>440*C50</f>
        <v>15132.810535822222</v>
      </c>
      <c r="E50" t="s">
        <v>6223</v>
      </c>
    </row>
    <row r="51" spans="1:8" x14ac:dyDescent="0.2">
      <c r="A51" s="798" t="s">
        <v>6224</v>
      </c>
    </row>
    <row r="52" spans="1:8" x14ac:dyDescent="0.2">
      <c r="A52" s="798" t="s">
        <v>6225</v>
      </c>
    </row>
    <row r="54" spans="1:8" ht="15" x14ac:dyDescent="0.25">
      <c r="A54" s="764" t="s">
        <v>6226</v>
      </c>
      <c r="B54" s="765"/>
      <c r="C54" s="765"/>
      <c r="D54" s="765"/>
      <c r="E54" s="765"/>
      <c r="F54" s="765"/>
      <c r="G54" s="765"/>
      <c r="H54" s="765"/>
    </row>
    <row r="55" spans="1:8" x14ac:dyDescent="0.2">
      <c r="A55" s="713" t="s">
        <v>610</v>
      </c>
      <c r="B55" s="713" t="s">
        <v>785</v>
      </c>
      <c r="C55" s="713" t="s">
        <v>1272</v>
      </c>
      <c r="D55" s="713" t="s">
        <v>1368</v>
      </c>
      <c r="E55" s="713" t="s">
        <v>6227</v>
      </c>
      <c r="F55" s="713" t="s">
        <v>6228</v>
      </c>
      <c r="G55" s="713" t="s">
        <v>6229</v>
      </c>
      <c r="H55" s="713" t="s">
        <v>4344</v>
      </c>
    </row>
    <row r="56" spans="1:8" x14ac:dyDescent="0.2">
      <c r="A56" t="s">
        <v>3971</v>
      </c>
      <c r="B56" t="s">
        <v>1277</v>
      </c>
      <c r="C56">
        <v>50</v>
      </c>
      <c r="D56" s="481">
        <f>440*2^((C56-69)/12)</f>
        <v>146.83238395870382</v>
      </c>
      <c r="E56" s="482">
        <f>SQRT($B$41*$B$33/D56)</f>
        <v>6.7346919615031995</v>
      </c>
      <c r="F56" s="540">
        <f>E56*25.4</f>
        <v>171.06117582218127</v>
      </c>
      <c r="G56" s="481">
        <f>$B$31/2-1</f>
        <v>5</v>
      </c>
      <c r="H56" t="str">
        <f>IF(E56&lt;=G56,"OK","⚠️ TOO LONG")</f>
        <v>⚠️ TOO LONG</v>
      </c>
    </row>
    <row r="57" spans="1:8" x14ac:dyDescent="0.2">
      <c r="A57">
        <v>1</v>
      </c>
      <c r="B57" t="s">
        <v>500</v>
      </c>
      <c r="C57">
        <v>57</v>
      </c>
      <c r="D57" s="481">
        <f>440*2^((C57-69)/12)</f>
        <v>220</v>
      </c>
      <c r="E57" s="482">
        <f>SQRT($B$41*$B$33/D57)</f>
        <v>5.5019586343593474</v>
      </c>
      <c r="F57" s="540">
        <f>E57*25.4</f>
        <v>139.7497493127274</v>
      </c>
      <c r="G57" s="481">
        <f>$B$31/2-1</f>
        <v>5</v>
      </c>
      <c r="H57" t="str">
        <f>IF(E57&lt;=G57,"OK","⚠️ TOO LONG")</f>
        <v>⚠️ TOO LONG</v>
      </c>
    </row>
    <row r="58" spans="1:8" x14ac:dyDescent="0.2">
      <c r="A58">
        <v>2</v>
      </c>
      <c r="B58" t="s">
        <v>243</v>
      </c>
      <c r="C58">
        <v>58</v>
      </c>
      <c r="D58" s="481">
        <f t="shared" ref="D58:D66" si="0">440*2^((C58-69)/12)</f>
        <v>233.08188075904496</v>
      </c>
      <c r="E58" s="482">
        <f t="shared" ref="E58:E66" si="1">SQRT($B$41*$B$33/D58)</f>
        <v>5.345328552185979</v>
      </c>
      <c r="F58" s="540">
        <f t="shared" ref="F58:F66" si="2">E58*25.4</f>
        <v>135.77134522552387</v>
      </c>
      <c r="G58" s="481">
        <f t="shared" ref="G58:G66" si="3">$B$31/2-1</f>
        <v>5</v>
      </c>
      <c r="H58" t="str">
        <f t="shared" ref="H58:H66" si="4">IF(E58&lt;=G58,"OK","⚠️ TOO LONG")</f>
        <v>⚠️ TOO LONG</v>
      </c>
    </row>
    <row r="59" spans="1:8" x14ac:dyDescent="0.2">
      <c r="A59">
        <v>3</v>
      </c>
      <c r="B59" t="s">
        <v>244</v>
      </c>
      <c r="C59">
        <v>60</v>
      </c>
      <c r="D59" s="481">
        <f t="shared" si="0"/>
        <v>261.62556530059862</v>
      </c>
      <c r="E59" s="482">
        <f t="shared" si="1"/>
        <v>5.0453183132523725</v>
      </c>
      <c r="F59" s="540">
        <f t="shared" si="2"/>
        <v>128.15108515661026</v>
      </c>
      <c r="G59" s="481">
        <f t="shared" si="3"/>
        <v>5</v>
      </c>
      <c r="H59" t="str">
        <f t="shared" si="4"/>
        <v>⚠️ TOO LONG</v>
      </c>
    </row>
    <row r="60" spans="1:8" x14ac:dyDescent="0.2">
      <c r="A60">
        <v>4</v>
      </c>
      <c r="B60" t="s">
        <v>24</v>
      </c>
      <c r="C60">
        <v>62</v>
      </c>
      <c r="D60" s="481">
        <f t="shared" si="0"/>
        <v>293.66476791740757</v>
      </c>
      <c r="E60" s="482">
        <f t="shared" si="1"/>
        <v>4.7621463551814438</v>
      </c>
      <c r="F60" s="540">
        <f t="shared" si="2"/>
        <v>120.95851742160866</v>
      </c>
      <c r="G60" s="481">
        <f t="shared" si="3"/>
        <v>5</v>
      </c>
      <c r="H60" t="str">
        <f t="shared" si="4"/>
        <v>OK</v>
      </c>
    </row>
    <row r="61" spans="1:8" x14ac:dyDescent="0.2">
      <c r="A61">
        <v>5</v>
      </c>
      <c r="B61" t="s">
        <v>25</v>
      </c>
      <c r="C61">
        <v>64</v>
      </c>
      <c r="D61" s="481">
        <f t="shared" si="0"/>
        <v>329.62755691286992</v>
      </c>
      <c r="E61" s="482">
        <f t="shared" si="1"/>
        <v>4.4948676178865181</v>
      </c>
      <c r="F61" s="540">
        <f t="shared" si="2"/>
        <v>114.16963749431756</v>
      </c>
      <c r="G61" s="481">
        <f t="shared" si="3"/>
        <v>5</v>
      </c>
      <c r="H61" t="str">
        <f t="shared" si="4"/>
        <v>OK</v>
      </c>
    </row>
    <row r="62" spans="1:8" x14ac:dyDescent="0.2">
      <c r="A62">
        <v>6</v>
      </c>
      <c r="B62" t="s">
        <v>11</v>
      </c>
      <c r="C62">
        <v>65</v>
      </c>
      <c r="D62" s="481">
        <f t="shared" si="0"/>
        <v>349.22823143300388</v>
      </c>
      <c r="E62" s="482">
        <f t="shared" si="1"/>
        <v>4.3669074620337733</v>
      </c>
      <c r="F62" s="540">
        <f t="shared" si="2"/>
        <v>110.91944953565783</v>
      </c>
      <c r="G62" s="481">
        <f t="shared" si="3"/>
        <v>5</v>
      </c>
      <c r="H62" t="str">
        <f t="shared" si="4"/>
        <v>OK</v>
      </c>
    </row>
    <row r="63" spans="1:8" x14ac:dyDescent="0.2">
      <c r="A63">
        <v>7</v>
      </c>
      <c r="B63" t="s">
        <v>27</v>
      </c>
      <c r="C63">
        <v>67</v>
      </c>
      <c r="D63" s="481">
        <f t="shared" si="0"/>
        <v>391.99543598174927</v>
      </c>
      <c r="E63" s="482">
        <f t="shared" si="1"/>
        <v>4.1218117792716855</v>
      </c>
      <c r="F63" s="540">
        <f t="shared" si="2"/>
        <v>104.69401919350081</v>
      </c>
      <c r="G63" s="481">
        <f t="shared" si="3"/>
        <v>5</v>
      </c>
      <c r="H63" t="str">
        <f t="shared" si="4"/>
        <v>OK</v>
      </c>
    </row>
    <row r="64" spans="1:8" x14ac:dyDescent="0.2">
      <c r="A64">
        <v>8</v>
      </c>
      <c r="B64" t="s">
        <v>29</v>
      </c>
      <c r="C64">
        <v>69</v>
      </c>
      <c r="D64" s="481">
        <f t="shared" si="0"/>
        <v>440</v>
      </c>
      <c r="E64" s="482">
        <f t="shared" si="1"/>
        <v>3.8904722601633708</v>
      </c>
      <c r="F64" s="540">
        <f t="shared" si="2"/>
        <v>98.817995408149613</v>
      </c>
      <c r="G64" s="481">
        <f t="shared" si="3"/>
        <v>5</v>
      </c>
      <c r="H64" t="str">
        <f t="shared" si="4"/>
        <v>OK</v>
      </c>
    </row>
    <row r="65" spans="1:8" x14ac:dyDescent="0.2">
      <c r="A65">
        <v>9</v>
      </c>
      <c r="B65" t="s">
        <v>32</v>
      </c>
      <c r="C65">
        <v>72</v>
      </c>
      <c r="D65" s="481">
        <f t="shared" si="0"/>
        <v>523.25113060119725</v>
      </c>
      <c r="E65" s="482">
        <f t="shared" si="1"/>
        <v>3.5675787925454263</v>
      </c>
      <c r="F65" s="540">
        <f t="shared" si="2"/>
        <v>90.616501330653819</v>
      </c>
      <c r="G65" s="481">
        <f t="shared" si="3"/>
        <v>5</v>
      </c>
      <c r="H65" t="str">
        <f t="shared" si="4"/>
        <v>OK</v>
      </c>
    </row>
    <row r="66" spans="1:8" x14ac:dyDescent="0.2">
      <c r="A66">
        <v>10</v>
      </c>
      <c r="B66" t="s">
        <v>34</v>
      </c>
      <c r="C66">
        <v>74</v>
      </c>
      <c r="D66" s="481">
        <f t="shared" si="0"/>
        <v>587.32953583481515</v>
      </c>
      <c r="E66" s="482">
        <f t="shared" si="1"/>
        <v>3.3673459807516002</v>
      </c>
      <c r="F66" s="540">
        <f t="shared" si="2"/>
        <v>85.530587911090635</v>
      </c>
      <c r="G66" s="481">
        <f t="shared" si="3"/>
        <v>5</v>
      </c>
      <c r="H66" t="str">
        <f t="shared" si="4"/>
        <v>OK</v>
      </c>
    </row>
    <row r="68" spans="1:8" ht="15" x14ac:dyDescent="0.25">
      <c r="A68" s="738" t="s">
        <v>6230</v>
      </c>
      <c r="B68" s="739"/>
      <c r="C68" s="739"/>
      <c r="D68" s="739"/>
    </row>
    <row r="69" spans="1:8" x14ac:dyDescent="0.2">
      <c r="A69" t="s">
        <v>4212</v>
      </c>
      <c r="B69" s="662">
        <f>PI()/6*B31^2*B32*0.7</f>
        <v>316.67253948185112</v>
      </c>
      <c r="C69" t="s">
        <v>6231</v>
      </c>
    </row>
    <row r="70" spans="1:8" x14ac:dyDescent="0.2">
      <c r="A70" t="s">
        <v>6232</v>
      </c>
      <c r="B70" s="564">
        <v>2.5</v>
      </c>
    </row>
    <row r="71" spans="1:8" x14ac:dyDescent="0.2">
      <c r="A71" t="s">
        <v>4213</v>
      </c>
      <c r="B71" s="469">
        <f>PI()*(B70/2)^2</f>
        <v>4.908738521234052</v>
      </c>
    </row>
    <row r="72" spans="1:8" x14ac:dyDescent="0.2">
      <c r="A72" t="s">
        <v>4215</v>
      </c>
      <c r="B72" s="707">
        <f>(13510/(2*PI()))*SQRT(B71/(B69*(B33+0.6*SQRT(B71/PI()))))</f>
        <v>275.09344252164959</v>
      </c>
    </row>
    <row r="73" spans="1:8" ht="15.75" x14ac:dyDescent="0.25">
      <c r="A73" t="s">
        <v>6233</v>
      </c>
      <c r="B73" s="753" t="str">
        <f>CHOOSE(MOD(ROUND(12*LOG(B72/440,2)+69,0),12)+1,"C","C#","D","D#","E","F","F#","G","G#","A","A#","B")&amp;INT(ROUND(12*LOG(B72/440,2)+69,0)/12-1)</f>
        <v>C#4</v>
      </c>
    </row>
    <row r="74" spans="1:8" x14ac:dyDescent="0.2">
      <c r="A74" s="799" t="s">
        <v>6234</v>
      </c>
    </row>
    <row r="76" spans="1:8" ht="15" x14ac:dyDescent="0.25">
      <c r="A76" s="735" t="s">
        <v>6235</v>
      </c>
      <c r="B76" s="736"/>
      <c r="C76" s="736"/>
      <c r="D76" s="736"/>
      <c r="E76" s="736"/>
    </row>
    <row r="77" spans="1:8" x14ac:dyDescent="0.2">
      <c r="A77" s="800" t="s">
        <v>6236</v>
      </c>
    </row>
    <row r="78" spans="1:8" x14ac:dyDescent="0.2">
      <c r="A78" s="800" t="s">
        <v>6237</v>
      </c>
    </row>
    <row r="79" spans="1:8" x14ac:dyDescent="0.2">
      <c r="A79" s="800" t="s">
        <v>6238</v>
      </c>
    </row>
    <row r="80" spans="1:8" x14ac:dyDescent="0.2">
      <c r="A80" s="800" t="s">
        <v>6239</v>
      </c>
    </row>
    <row r="81" spans="1:3" x14ac:dyDescent="0.2">
      <c r="A81" s="800" t="s">
        <v>6240</v>
      </c>
    </row>
    <row r="82" spans="1:3" x14ac:dyDescent="0.2">
      <c r="A82" s="800" t="s">
        <v>6241</v>
      </c>
    </row>
    <row r="83" spans="1:3" x14ac:dyDescent="0.2">
      <c r="A83" s="800" t="s">
        <v>6242</v>
      </c>
    </row>
    <row r="84" spans="1:3" x14ac:dyDescent="0.2">
      <c r="A84" s="800" t="s">
        <v>6243</v>
      </c>
    </row>
    <row r="85" spans="1:3" x14ac:dyDescent="0.2">
      <c r="A85" s="800" t="s">
        <v>6244</v>
      </c>
    </row>
    <row r="86" spans="1:3" x14ac:dyDescent="0.2">
      <c r="A86" s="800" t="s">
        <v>6245</v>
      </c>
    </row>
    <row r="87" spans="1:3" x14ac:dyDescent="0.2">
      <c r="A87" s="801" t="s">
        <v>6246</v>
      </c>
    </row>
    <row r="89" spans="1:3" ht="15" x14ac:dyDescent="0.25">
      <c r="A89" s="802" t="s">
        <v>6247</v>
      </c>
      <c r="B89" s="748"/>
      <c r="C89" s="748"/>
    </row>
    <row r="90" spans="1:3" x14ac:dyDescent="0.2">
      <c r="A90" s="768" t="s">
        <v>610</v>
      </c>
      <c r="B90" s="768" t="s">
        <v>1545</v>
      </c>
      <c r="C90" s="768" t="s">
        <v>1549</v>
      </c>
    </row>
    <row r="91" spans="1:3" x14ac:dyDescent="0.2">
      <c r="A91">
        <v>1</v>
      </c>
      <c r="B91" t="s">
        <v>6248</v>
      </c>
      <c r="C91" t="s">
        <v>5521</v>
      </c>
    </row>
    <row r="92" spans="1:3" x14ac:dyDescent="0.2">
      <c r="A92">
        <v>2</v>
      </c>
      <c r="B92" t="s">
        <v>6249</v>
      </c>
      <c r="C92" t="s">
        <v>4572</v>
      </c>
    </row>
    <row r="93" spans="1:3" x14ac:dyDescent="0.2">
      <c r="A93">
        <v>3</v>
      </c>
      <c r="B93" t="s">
        <v>5821</v>
      </c>
      <c r="C93" t="s">
        <v>4089</v>
      </c>
    </row>
    <row r="94" spans="1:3" x14ac:dyDescent="0.2">
      <c r="A94">
        <v>4</v>
      </c>
      <c r="B94" t="s">
        <v>6250</v>
      </c>
      <c r="C94" t="s">
        <v>4247</v>
      </c>
    </row>
    <row r="95" spans="1:3" x14ac:dyDescent="0.2">
      <c r="A95">
        <v>5</v>
      </c>
      <c r="B95" t="s">
        <v>6251</v>
      </c>
      <c r="C95" t="s">
        <v>4093</v>
      </c>
    </row>
    <row r="96" spans="1:3" x14ac:dyDescent="0.2">
      <c r="A96">
        <v>6</v>
      </c>
      <c r="B96" t="s">
        <v>5834</v>
      </c>
      <c r="C96" t="s">
        <v>4093</v>
      </c>
    </row>
    <row r="97" spans="1:5" x14ac:dyDescent="0.2">
      <c r="A97">
        <v>7</v>
      </c>
      <c r="B97" t="s">
        <v>2955</v>
      </c>
      <c r="C97" t="s">
        <v>4263</v>
      </c>
    </row>
    <row r="98" spans="1:5" x14ac:dyDescent="0.2">
      <c r="B98" s="472" t="s">
        <v>2263</v>
      </c>
      <c r="C98" s="472" t="s">
        <v>6252</v>
      </c>
    </row>
    <row r="100" spans="1:5" ht="15" x14ac:dyDescent="0.25">
      <c r="A100" s="751" t="s">
        <v>1532</v>
      </c>
      <c r="B100" s="752"/>
      <c r="C100" s="752"/>
      <c r="D100" s="752"/>
      <c r="E100" s="752"/>
    </row>
    <row r="101" spans="1:5" x14ac:dyDescent="0.2">
      <c r="A101" t="s">
        <v>6253</v>
      </c>
    </row>
    <row r="102" spans="1:5" x14ac:dyDescent="0.2">
      <c r="A102" t="s">
        <v>6254</v>
      </c>
    </row>
    <row r="103" spans="1:5" x14ac:dyDescent="0.2">
      <c r="A103" t="s">
        <v>6255</v>
      </c>
    </row>
    <row r="104" spans="1:5" x14ac:dyDescent="0.2">
      <c r="A104" t="s">
        <v>6256</v>
      </c>
    </row>
    <row r="105" spans="1:5" x14ac:dyDescent="0.2">
      <c r="A105" t="s">
        <v>6257</v>
      </c>
    </row>
    <row r="106" spans="1:5" x14ac:dyDescent="0.2">
      <c r="A106" t="s">
        <v>6258</v>
      </c>
    </row>
    <row r="107" spans="1:5" x14ac:dyDescent="0.2">
      <c r="A107" t="s">
        <v>6259</v>
      </c>
    </row>
    <row r="108" spans="1:5" x14ac:dyDescent="0.2">
      <c r="A108" t="s">
        <v>6260</v>
      </c>
    </row>
    <row r="109" spans="1:5" x14ac:dyDescent="0.2">
      <c r="A109" t="s">
        <v>6261</v>
      </c>
    </row>
    <row r="110" spans="1:5" x14ac:dyDescent="0.2">
      <c r="A110" t="s">
        <v>6262</v>
      </c>
    </row>
    <row r="111" spans="1:5" x14ac:dyDescent="0.2">
      <c r="A111" t="s">
        <v>6263</v>
      </c>
    </row>
    <row r="112" spans="1:5" x14ac:dyDescent="0.2">
      <c r="A112" t="s">
        <v>6264</v>
      </c>
    </row>
    <row r="115" spans="1:1" ht="18" x14ac:dyDescent="0.25">
      <c r="A115" s="833" t="s">
        <v>7035</v>
      </c>
    </row>
    <row r="116" spans="1:1" x14ac:dyDescent="0.2">
      <c r="A116" s="734" t="s">
        <v>7036</v>
      </c>
    </row>
    <row r="118" spans="1:1" x14ac:dyDescent="0.2">
      <c r="A118" s="609" t="s">
        <v>6355</v>
      </c>
    </row>
    <row r="119" spans="1:1" x14ac:dyDescent="0.2">
      <c r="A119" t="s">
        <v>7037</v>
      </c>
    </row>
    <row r="120" spans="1:1" x14ac:dyDescent="0.2">
      <c r="A120" t="s">
        <v>7038</v>
      </c>
    </row>
    <row r="121" spans="1:1" x14ac:dyDescent="0.2">
      <c r="A121" t="s">
        <v>7039</v>
      </c>
    </row>
    <row r="123" spans="1:1" x14ac:dyDescent="0.2">
      <c r="A123" s="609" t="s">
        <v>6359</v>
      </c>
    </row>
    <row r="124" spans="1:1" x14ac:dyDescent="0.2">
      <c r="A124" t="s">
        <v>7040</v>
      </c>
    </row>
    <row r="125" spans="1:1" x14ac:dyDescent="0.2">
      <c r="A125" t="s">
        <v>7041</v>
      </c>
    </row>
    <row r="126" spans="1:1" x14ac:dyDescent="0.2">
      <c r="A126" t="s">
        <v>7042</v>
      </c>
    </row>
    <row r="127" spans="1:1" x14ac:dyDescent="0.2">
      <c r="A127" t="s">
        <v>7043</v>
      </c>
    </row>
    <row r="129" spans="1:1" x14ac:dyDescent="0.2">
      <c r="A129" s="609" t="s">
        <v>6654</v>
      </c>
    </row>
    <row r="130" spans="1:1" x14ac:dyDescent="0.2">
      <c r="A130" t="s">
        <v>7044</v>
      </c>
    </row>
    <row r="131" spans="1:1" x14ac:dyDescent="0.2">
      <c r="A131" t="s">
        <v>7045</v>
      </c>
    </row>
    <row r="132" spans="1:1" x14ac:dyDescent="0.2">
      <c r="A132" t="s">
        <v>7046</v>
      </c>
    </row>
    <row r="134" spans="1:1" x14ac:dyDescent="0.2">
      <c r="A134" s="609" t="s">
        <v>6658</v>
      </c>
    </row>
    <row r="135" spans="1:1" x14ac:dyDescent="0.2">
      <c r="A135" t="s">
        <v>7047</v>
      </c>
    </row>
    <row r="136" spans="1:1" x14ac:dyDescent="0.2">
      <c r="A136" t="s">
        <v>7048</v>
      </c>
    </row>
    <row r="138" spans="1:1" x14ac:dyDescent="0.2">
      <c r="A138" s="609" t="s">
        <v>6661</v>
      </c>
    </row>
    <row r="139" spans="1:1" x14ac:dyDescent="0.2">
      <c r="A139" t="s">
        <v>7049</v>
      </c>
    </row>
    <row r="140" spans="1:1" x14ac:dyDescent="0.2">
      <c r="A140" t="s">
        <v>7050</v>
      </c>
    </row>
    <row r="141" spans="1:1" x14ac:dyDescent="0.2">
      <c r="A141" t="s">
        <v>7051</v>
      </c>
    </row>
    <row r="142" spans="1:1" x14ac:dyDescent="0.2">
      <c r="A142" t="s">
        <v>7052</v>
      </c>
    </row>
    <row r="144" spans="1:1" x14ac:dyDescent="0.2">
      <c r="A144" s="609" t="s">
        <v>6682</v>
      </c>
    </row>
    <row r="145" spans="1:1" x14ac:dyDescent="0.2">
      <c r="A145" t="s">
        <v>7053</v>
      </c>
    </row>
    <row r="148" spans="1:1" ht="18" x14ac:dyDescent="0.25">
      <c r="A148" s="838" t="s">
        <v>7428</v>
      </c>
    </row>
    <row r="149" spans="1:1" x14ac:dyDescent="0.2">
      <c r="A149" s="734" t="s">
        <v>7246</v>
      </c>
    </row>
    <row r="151" spans="1:1" x14ac:dyDescent="0.2">
      <c r="A151" s="839" t="s">
        <v>7312</v>
      </c>
    </row>
    <row r="152" spans="1:1" x14ac:dyDescent="0.2">
      <c r="A152" s="842" t="s">
        <v>7429</v>
      </c>
    </row>
    <row r="153" spans="1:1" x14ac:dyDescent="0.2">
      <c r="A153" t="s">
        <v>7430</v>
      </c>
    </row>
    <row r="154" spans="1:1" x14ac:dyDescent="0.2">
      <c r="A154" t="s">
        <v>7431</v>
      </c>
    </row>
    <row r="156" spans="1:1" x14ac:dyDescent="0.2">
      <c r="A156" s="839" t="s">
        <v>5754</v>
      </c>
    </row>
    <row r="157" spans="1:1" x14ac:dyDescent="0.2">
      <c r="A157" s="842" t="s">
        <v>7432</v>
      </c>
    </row>
    <row r="158" spans="1:1" x14ac:dyDescent="0.2">
      <c r="A158" t="s">
        <v>7433</v>
      </c>
    </row>
    <row r="159" spans="1:1" x14ac:dyDescent="0.2">
      <c r="A159" t="s">
        <v>7434</v>
      </c>
    </row>
    <row r="161" spans="1:1" x14ac:dyDescent="0.2">
      <c r="A161" s="839" t="s">
        <v>7259</v>
      </c>
    </row>
    <row r="162" spans="1:1" x14ac:dyDescent="0.2">
      <c r="A162" t="s">
        <v>7435</v>
      </c>
    </row>
  </sheetData>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R1016"/>
  <sheetViews>
    <sheetView workbookViewId="0">
      <pane ySplit="1" topLeftCell="A78" activePane="bottomLeft" state="frozen"/>
      <selection pane="bottomLeft" activeCell="C18" sqref="C18"/>
    </sheetView>
  </sheetViews>
  <sheetFormatPr defaultColWidth="12.5703125" defaultRowHeight="15" customHeight="1" x14ac:dyDescent="0.2"/>
  <cols>
    <col min="1" max="1" width="9" customWidth="1"/>
    <col min="2" max="2" width="6.85546875" customWidth="1"/>
    <col min="3" max="3" width="35.7109375" customWidth="1"/>
    <col min="4" max="4" width="17.42578125" customWidth="1"/>
    <col min="5" max="5" width="5.42578125" customWidth="1"/>
    <col min="6" max="9" width="11.5703125" customWidth="1"/>
    <col min="10" max="12" width="23" customWidth="1"/>
    <col min="13" max="13" width="10" customWidth="1"/>
    <col min="14" max="14" width="11.42578125" customWidth="1"/>
    <col min="15" max="16" width="10" customWidth="1"/>
    <col min="17" max="17" width="11.42578125" customWidth="1"/>
    <col min="18" max="18" width="10.85546875" customWidth="1"/>
    <col min="19" max="19" width="9.28515625" customWidth="1"/>
    <col min="20" max="20" width="13" customWidth="1"/>
    <col min="21" max="21" width="10.42578125" customWidth="1"/>
    <col min="22" max="22" width="11.7109375" customWidth="1"/>
    <col min="23" max="23" width="10" customWidth="1"/>
    <col min="24" max="24" width="14.140625" customWidth="1"/>
    <col min="25" max="25" width="6.85546875" customWidth="1"/>
    <col min="26" max="26" width="20.42578125" customWidth="1"/>
    <col min="27" max="27" width="20.5703125" customWidth="1"/>
    <col min="29" max="29" width="9.28515625" customWidth="1"/>
    <col min="30" max="30" width="16.5703125" customWidth="1"/>
    <col min="37" max="37" width="18.42578125" customWidth="1"/>
  </cols>
  <sheetData>
    <row r="1" spans="1:44" ht="15" customHeight="1" x14ac:dyDescent="0.2">
      <c r="A1" s="304" t="s">
        <v>332</v>
      </c>
      <c r="B1" s="305" t="s">
        <v>174</v>
      </c>
      <c r="C1" s="200" t="s">
        <v>333</v>
      </c>
      <c r="D1" s="200" t="s">
        <v>334</v>
      </c>
      <c r="E1" s="200" t="s">
        <v>335</v>
      </c>
      <c r="F1" s="200" t="s">
        <v>336</v>
      </c>
      <c r="G1" s="200" t="s">
        <v>337</v>
      </c>
      <c r="H1" s="200" t="s">
        <v>338</v>
      </c>
      <c r="I1" s="200" t="s">
        <v>339</v>
      </c>
      <c r="J1" s="200" t="s">
        <v>2</v>
      </c>
      <c r="K1" s="200" t="s">
        <v>340</v>
      </c>
      <c r="L1" s="200" t="s">
        <v>341</v>
      </c>
      <c r="M1" s="306" t="s">
        <v>342</v>
      </c>
      <c r="N1" s="306" t="s">
        <v>343</v>
      </c>
      <c r="O1" s="306" t="s">
        <v>344</v>
      </c>
      <c r="P1" s="306" t="s">
        <v>345</v>
      </c>
      <c r="Q1" s="306" t="s">
        <v>346</v>
      </c>
      <c r="R1" s="306" t="s">
        <v>347</v>
      </c>
      <c r="S1" s="200" t="s">
        <v>348</v>
      </c>
      <c r="T1" s="200" t="s">
        <v>349</v>
      </c>
      <c r="U1" s="200" t="s">
        <v>215</v>
      </c>
      <c r="V1" s="200" t="s">
        <v>350</v>
      </c>
      <c r="W1" s="200" t="s">
        <v>220</v>
      </c>
      <c r="X1" s="200" t="s">
        <v>351</v>
      </c>
      <c r="Y1" s="200" t="s">
        <v>222</v>
      </c>
      <c r="Z1" s="200" t="s">
        <v>352</v>
      </c>
      <c r="AA1" s="200" t="s">
        <v>353</v>
      </c>
      <c r="AB1" s="200" t="s">
        <v>354</v>
      </c>
      <c r="AC1" s="200" t="s">
        <v>355</v>
      </c>
      <c r="AD1" s="200" t="s">
        <v>356</v>
      </c>
    </row>
    <row r="2" spans="1:44" ht="15" customHeight="1" x14ac:dyDescent="0.2">
      <c r="A2" s="307" t="s">
        <v>357</v>
      </c>
      <c r="B2" s="308">
        <v>0</v>
      </c>
      <c r="C2" s="309"/>
      <c r="D2" s="309" t="s">
        <v>358</v>
      </c>
      <c r="E2" s="309" t="s">
        <v>29</v>
      </c>
      <c r="F2" s="309"/>
      <c r="G2" s="309"/>
      <c r="H2" s="309"/>
      <c r="I2" s="309"/>
      <c r="J2" s="309"/>
      <c r="K2" s="309"/>
      <c r="L2" s="309" t="s">
        <v>359</v>
      </c>
      <c r="M2" s="310"/>
      <c r="N2" s="310"/>
      <c r="O2" s="310"/>
      <c r="P2" s="310"/>
      <c r="Q2" s="310"/>
      <c r="R2" s="310"/>
      <c r="S2" s="309">
        <v>1.5</v>
      </c>
      <c r="T2" s="309">
        <v>0.75</v>
      </c>
      <c r="U2" s="309">
        <v>21.5</v>
      </c>
      <c r="V2" s="311">
        <v>43528</v>
      </c>
      <c r="W2" s="309">
        <v>2</v>
      </c>
      <c r="X2" s="309">
        <v>3</v>
      </c>
      <c r="Y2" s="309">
        <v>0.75</v>
      </c>
      <c r="Z2" s="309">
        <v>15.625</v>
      </c>
      <c r="AA2" s="309" t="s">
        <v>360</v>
      </c>
      <c r="AB2" s="309" t="s">
        <v>361</v>
      </c>
      <c r="AC2" s="312">
        <v>43697</v>
      </c>
      <c r="AD2" s="309"/>
      <c r="AE2" s="309"/>
      <c r="AF2" s="309"/>
      <c r="AG2" s="309"/>
      <c r="AH2" s="309"/>
      <c r="AI2" s="309"/>
      <c r="AJ2" s="309"/>
      <c r="AK2" s="309"/>
      <c r="AL2" s="309"/>
      <c r="AM2" s="309"/>
      <c r="AN2" s="309"/>
      <c r="AO2" s="309"/>
      <c r="AP2" s="309"/>
      <c r="AQ2" s="309"/>
      <c r="AR2" s="309"/>
    </row>
    <row r="3" spans="1:44" ht="15" customHeight="1" x14ac:dyDescent="0.2">
      <c r="A3" s="307" t="s">
        <v>362</v>
      </c>
      <c r="B3" s="308">
        <v>0</v>
      </c>
      <c r="C3" s="309"/>
      <c r="D3" s="309" t="s">
        <v>358</v>
      </c>
      <c r="E3" s="309" t="s">
        <v>363</v>
      </c>
      <c r="F3" s="309"/>
      <c r="G3" s="309"/>
      <c r="H3" s="309"/>
      <c r="I3" s="309"/>
      <c r="J3" s="309"/>
      <c r="K3" s="309"/>
      <c r="L3" s="309"/>
      <c r="M3" s="310"/>
      <c r="N3" s="310"/>
      <c r="O3" s="310"/>
      <c r="P3" s="310"/>
      <c r="Q3" s="310"/>
      <c r="R3" s="310"/>
      <c r="S3" s="309">
        <v>1.5</v>
      </c>
      <c r="T3" s="309">
        <v>0.75</v>
      </c>
      <c r="U3" s="309">
        <v>21.5</v>
      </c>
      <c r="V3" s="311">
        <v>43528</v>
      </c>
      <c r="W3" s="309">
        <v>2</v>
      </c>
      <c r="X3" s="309">
        <v>3</v>
      </c>
      <c r="Y3" s="309">
        <v>0.75</v>
      </c>
      <c r="Z3" s="309">
        <v>15.625</v>
      </c>
      <c r="AA3" s="309" t="s">
        <v>360</v>
      </c>
      <c r="AB3" s="309" t="s">
        <v>364</v>
      </c>
      <c r="AC3" s="312">
        <v>43697</v>
      </c>
      <c r="AD3" s="309"/>
      <c r="AE3" s="309"/>
      <c r="AF3" s="309"/>
      <c r="AG3" s="309"/>
      <c r="AH3" s="309"/>
      <c r="AI3" s="309"/>
      <c r="AJ3" s="309"/>
      <c r="AK3" s="309"/>
      <c r="AL3" s="309"/>
      <c r="AM3" s="309"/>
      <c r="AN3" s="309"/>
      <c r="AO3" s="309"/>
      <c r="AP3" s="309"/>
      <c r="AQ3" s="309"/>
      <c r="AR3" s="309"/>
    </row>
    <row r="4" spans="1:44" ht="15" customHeight="1" x14ac:dyDescent="0.2">
      <c r="A4" s="304" t="s">
        <v>365</v>
      </c>
      <c r="B4" s="305"/>
      <c r="C4" s="200" t="s">
        <v>366</v>
      </c>
      <c r="D4" s="313" t="s">
        <v>358</v>
      </c>
      <c r="E4" s="200" t="s">
        <v>31</v>
      </c>
      <c r="F4" s="200"/>
      <c r="G4" s="200"/>
      <c r="H4" s="200"/>
      <c r="I4" s="200"/>
      <c r="J4" s="200"/>
      <c r="K4" s="200"/>
      <c r="L4" s="200"/>
      <c r="M4" s="306"/>
      <c r="N4" s="306"/>
      <c r="O4" s="306"/>
      <c r="P4" s="306"/>
      <c r="Q4" s="306"/>
      <c r="R4" s="306"/>
      <c r="S4" s="200">
        <v>1.5</v>
      </c>
      <c r="T4" s="200">
        <v>0.75</v>
      </c>
      <c r="U4" s="200">
        <v>21.5</v>
      </c>
      <c r="V4" s="314">
        <v>43528</v>
      </c>
      <c r="W4" s="200">
        <v>2</v>
      </c>
      <c r="X4" s="200">
        <v>3</v>
      </c>
      <c r="Y4" s="200">
        <v>0.75</v>
      </c>
      <c r="Z4" s="200">
        <v>15.625</v>
      </c>
      <c r="AA4" s="200" t="s">
        <v>360</v>
      </c>
      <c r="AB4" s="200" t="s">
        <v>364</v>
      </c>
      <c r="AC4" s="315">
        <v>43697</v>
      </c>
    </row>
    <row r="5" spans="1:44" ht="15" customHeight="1" x14ac:dyDescent="0.2">
      <c r="A5" s="307" t="s">
        <v>367</v>
      </c>
      <c r="B5" s="308">
        <v>0</v>
      </c>
      <c r="C5" s="309"/>
      <c r="D5" s="309" t="s">
        <v>368</v>
      </c>
      <c r="E5" s="309" t="s">
        <v>11</v>
      </c>
      <c r="F5" s="309"/>
      <c r="G5" s="309"/>
      <c r="H5" s="309"/>
      <c r="I5" s="309"/>
      <c r="J5" s="309"/>
      <c r="K5" s="309"/>
      <c r="L5" s="309" t="s">
        <v>369</v>
      </c>
      <c r="M5" s="310"/>
      <c r="N5" s="310"/>
      <c r="O5" s="310"/>
      <c r="P5" s="310"/>
      <c r="Q5" s="310"/>
      <c r="R5" s="310"/>
      <c r="S5" s="309">
        <v>1.5</v>
      </c>
      <c r="T5" s="309">
        <v>0.75</v>
      </c>
      <c r="U5" s="309">
        <v>24.5</v>
      </c>
      <c r="V5" s="311">
        <v>43654</v>
      </c>
      <c r="W5" s="309">
        <v>2</v>
      </c>
      <c r="X5" s="309">
        <v>4</v>
      </c>
      <c r="Y5" s="309">
        <v>0.75</v>
      </c>
      <c r="Z5" s="309">
        <v>19</v>
      </c>
      <c r="AA5" s="309" t="s">
        <v>360</v>
      </c>
      <c r="AB5" s="309" t="s">
        <v>364</v>
      </c>
      <c r="AC5" s="312">
        <v>43697</v>
      </c>
      <c r="AD5" s="309"/>
      <c r="AE5" s="309"/>
      <c r="AF5" s="309"/>
      <c r="AG5" s="309"/>
      <c r="AH5" s="309"/>
      <c r="AI5" s="309"/>
      <c r="AJ5" s="309"/>
      <c r="AK5" s="309"/>
      <c r="AL5" s="309"/>
      <c r="AM5" s="309"/>
      <c r="AN5" s="309"/>
      <c r="AO5" s="309"/>
      <c r="AP5" s="309"/>
      <c r="AQ5" s="309"/>
      <c r="AR5" s="309"/>
    </row>
    <row r="6" spans="1:44" ht="15" customHeight="1" x14ac:dyDescent="0.2">
      <c r="A6" s="304" t="s">
        <v>370</v>
      </c>
      <c r="B6" s="305"/>
      <c r="C6" s="200" t="s">
        <v>366</v>
      </c>
      <c r="D6" s="313" t="s">
        <v>368</v>
      </c>
      <c r="E6" s="316" t="s">
        <v>27</v>
      </c>
      <c r="F6" s="316"/>
      <c r="G6" s="316"/>
      <c r="H6" s="316"/>
      <c r="I6" s="316"/>
      <c r="J6" s="316"/>
      <c r="K6" s="316"/>
      <c r="L6" s="316" t="s">
        <v>371</v>
      </c>
      <c r="M6" s="306"/>
      <c r="N6" s="306"/>
      <c r="O6" s="306"/>
      <c r="P6" s="306"/>
      <c r="Q6" s="306"/>
      <c r="R6" s="306"/>
      <c r="S6" s="200">
        <v>1.5</v>
      </c>
      <c r="T6" s="200">
        <v>0.75</v>
      </c>
      <c r="U6" s="200">
        <v>24.5</v>
      </c>
      <c r="V6" s="314">
        <v>43654</v>
      </c>
      <c r="W6" s="200">
        <v>2</v>
      </c>
      <c r="X6" s="200">
        <v>4</v>
      </c>
      <c r="Y6" s="200">
        <v>0.75</v>
      </c>
      <c r="Z6" s="200">
        <v>17.625</v>
      </c>
      <c r="AA6" s="200" t="s">
        <v>360</v>
      </c>
      <c r="AB6" s="200" t="s">
        <v>364</v>
      </c>
      <c r="AC6" s="315">
        <v>43697</v>
      </c>
    </row>
    <row r="7" spans="1:44" ht="15" customHeight="1" x14ac:dyDescent="0.2">
      <c r="A7" s="304" t="s">
        <v>372</v>
      </c>
      <c r="B7" s="305"/>
      <c r="C7" s="200" t="s">
        <v>366</v>
      </c>
      <c r="D7" s="313" t="s">
        <v>368</v>
      </c>
      <c r="E7" s="316" t="s">
        <v>11</v>
      </c>
      <c r="F7" s="316"/>
      <c r="G7" s="316"/>
      <c r="H7" s="316"/>
      <c r="I7" s="316"/>
      <c r="J7" s="316"/>
      <c r="K7" s="316"/>
      <c r="L7" s="316" t="s">
        <v>369</v>
      </c>
      <c r="M7" s="306"/>
      <c r="N7" s="306"/>
      <c r="O7" s="306"/>
      <c r="P7" s="306"/>
      <c r="Q7" s="306"/>
      <c r="R7" s="306"/>
      <c r="S7" s="200">
        <v>1.5</v>
      </c>
      <c r="T7" s="200">
        <v>0.75</v>
      </c>
      <c r="U7" s="200">
        <v>23.75</v>
      </c>
      <c r="V7" s="314">
        <v>43654</v>
      </c>
      <c r="W7" s="200">
        <v>2</v>
      </c>
      <c r="X7" s="200">
        <v>4</v>
      </c>
      <c r="Y7" s="200">
        <v>0.75</v>
      </c>
      <c r="Z7" s="200">
        <v>17</v>
      </c>
      <c r="AA7" s="200" t="s">
        <v>360</v>
      </c>
      <c r="AB7" s="200" t="s">
        <v>364</v>
      </c>
      <c r="AC7" s="315">
        <v>43697</v>
      </c>
    </row>
    <row r="8" spans="1:44" ht="15" customHeight="1" x14ac:dyDescent="0.2">
      <c r="A8" s="317" t="s">
        <v>373</v>
      </c>
      <c r="B8" s="318"/>
      <c r="C8" s="319" t="s">
        <v>374</v>
      </c>
      <c r="D8" s="319" t="s">
        <v>368</v>
      </c>
      <c r="E8" s="319" t="s">
        <v>375</v>
      </c>
      <c r="F8" s="319"/>
      <c r="G8" s="319"/>
      <c r="H8" s="319"/>
      <c r="I8" s="319"/>
      <c r="J8" s="319"/>
      <c r="K8" s="319"/>
      <c r="L8" s="319" t="s">
        <v>369</v>
      </c>
      <c r="M8" s="320"/>
      <c r="N8" s="320"/>
      <c r="O8" s="320"/>
      <c r="P8" s="320"/>
      <c r="Q8" s="320"/>
      <c r="R8" s="320"/>
      <c r="S8" s="319">
        <v>1.5</v>
      </c>
      <c r="T8" s="319">
        <v>0.75</v>
      </c>
      <c r="U8" s="319">
        <v>23.75</v>
      </c>
      <c r="V8" s="321">
        <v>43654</v>
      </c>
      <c r="W8" s="319">
        <v>2</v>
      </c>
      <c r="X8" s="319">
        <v>4</v>
      </c>
      <c r="Y8" s="319">
        <v>0.75</v>
      </c>
      <c r="Z8" s="319">
        <v>17</v>
      </c>
      <c r="AA8" s="319" t="s">
        <v>360</v>
      </c>
      <c r="AB8" s="319" t="s">
        <v>364</v>
      </c>
      <c r="AC8" s="322">
        <v>43698</v>
      </c>
      <c r="AD8" s="319"/>
      <c r="AF8" s="319"/>
      <c r="AG8" s="319"/>
      <c r="AH8" s="319"/>
      <c r="AI8" s="319"/>
      <c r="AJ8" s="319"/>
      <c r="AK8" s="319"/>
      <c r="AL8" s="319"/>
      <c r="AM8" s="319"/>
      <c r="AN8" s="319"/>
      <c r="AO8" s="319"/>
      <c r="AP8" s="319"/>
      <c r="AQ8" s="319"/>
      <c r="AR8" s="319"/>
    </row>
    <row r="9" spans="1:44" ht="15" customHeight="1" x14ac:dyDescent="0.2">
      <c r="A9" s="304" t="s">
        <v>376</v>
      </c>
      <c r="B9" s="305"/>
      <c r="C9" s="200" t="s">
        <v>366</v>
      </c>
      <c r="D9" s="313" t="s">
        <v>368</v>
      </c>
      <c r="E9" s="316" t="s">
        <v>27</v>
      </c>
      <c r="F9" s="316"/>
      <c r="G9" s="316"/>
      <c r="H9" s="316"/>
      <c r="I9" s="316"/>
      <c r="J9" s="316"/>
      <c r="K9" s="316"/>
      <c r="L9" s="316" t="s">
        <v>369</v>
      </c>
      <c r="M9" s="306"/>
      <c r="N9" s="306"/>
      <c r="O9" s="306"/>
      <c r="P9" s="306"/>
      <c r="Q9" s="306"/>
      <c r="R9" s="306"/>
      <c r="S9" s="200">
        <v>1.5</v>
      </c>
      <c r="T9" s="200">
        <v>0.75</v>
      </c>
      <c r="U9" s="200">
        <v>23.75</v>
      </c>
      <c r="V9" s="314">
        <v>43654</v>
      </c>
      <c r="W9" s="200">
        <v>2</v>
      </c>
      <c r="X9" s="200">
        <v>4</v>
      </c>
      <c r="Y9" s="200">
        <v>0.75</v>
      </c>
      <c r="Z9" s="200">
        <v>17</v>
      </c>
      <c r="AA9" s="200" t="s">
        <v>360</v>
      </c>
      <c r="AB9" s="200" t="s">
        <v>364</v>
      </c>
      <c r="AC9" s="315">
        <v>43698</v>
      </c>
    </row>
    <row r="10" spans="1:44" ht="15" customHeight="1" x14ac:dyDescent="0.2">
      <c r="A10" s="307" t="s">
        <v>377</v>
      </c>
      <c r="B10" s="308">
        <v>0</v>
      </c>
      <c r="C10" s="309"/>
      <c r="D10" s="309" t="s">
        <v>378</v>
      </c>
      <c r="E10" s="309" t="s">
        <v>31</v>
      </c>
      <c r="F10" s="309"/>
      <c r="G10" s="309"/>
      <c r="H10" s="309"/>
      <c r="I10" s="309"/>
      <c r="J10" s="309"/>
      <c r="K10" s="309"/>
      <c r="L10" s="309"/>
      <c r="M10" s="310"/>
      <c r="N10" s="310"/>
      <c r="O10" s="310"/>
      <c r="P10" s="310"/>
      <c r="Q10" s="310"/>
      <c r="R10" s="310"/>
      <c r="S10" s="309">
        <v>1.5</v>
      </c>
      <c r="T10" s="309">
        <v>0.75</v>
      </c>
      <c r="U10" s="309">
        <v>21.5</v>
      </c>
      <c r="V10" s="311">
        <v>43528</v>
      </c>
      <c r="W10" s="309">
        <v>2</v>
      </c>
      <c r="X10" s="309">
        <v>3</v>
      </c>
      <c r="Y10" s="309">
        <v>0.75</v>
      </c>
      <c r="Z10" s="309">
        <v>15.625</v>
      </c>
      <c r="AA10" s="309" t="s">
        <v>360</v>
      </c>
      <c r="AB10" s="309" t="s">
        <v>364</v>
      </c>
      <c r="AC10" s="312">
        <v>43698</v>
      </c>
      <c r="AD10" s="309"/>
      <c r="AE10" s="309"/>
      <c r="AF10" s="309"/>
      <c r="AG10" s="309"/>
      <c r="AH10" s="309"/>
      <c r="AI10" s="309"/>
      <c r="AJ10" s="309"/>
      <c r="AK10" s="309"/>
      <c r="AL10" s="309"/>
      <c r="AM10" s="309"/>
      <c r="AN10" s="309"/>
      <c r="AO10" s="309"/>
      <c r="AP10" s="309"/>
      <c r="AQ10" s="309"/>
      <c r="AR10" s="309"/>
    </row>
    <row r="11" spans="1:44" ht="15" customHeight="1" x14ac:dyDescent="0.2">
      <c r="A11" s="307" t="s">
        <v>379</v>
      </c>
      <c r="B11" s="308">
        <v>0</v>
      </c>
      <c r="C11" s="309"/>
      <c r="D11" s="309" t="s">
        <v>378</v>
      </c>
      <c r="E11" s="309" t="s">
        <v>380</v>
      </c>
      <c r="F11" s="309"/>
      <c r="G11" s="309"/>
      <c r="H11" s="309"/>
      <c r="I11" s="309"/>
      <c r="J11" s="309"/>
      <c r="K11" s="309"/>
      <c r="L11" s="309"/>
      <c r="M11" s="310"/>
      <c r="N11" s="310"/>
      <c r="O11" s="310"/>
      <c r="P11" s="310"/>
      <c r="Q11" s="310"/>
      <c r="R11" s="310"/>
      <c r="S11" s="309">
        <v>1.5</v>
      </c>
      <c r="T11" s="309">
        <v>0.75</v>
      </c>
      <c r="U11" s="309">
        <v>21.5</v>
      </c>
      <c r="V11" s="311">
        <v>43528</v>
      </c>
      <c r="W11" s="309">
        <v>2</v>
      </c>
      <c r="X11" s="309">
        <v>3</v>
      </c>
      <c r="Y11" s="309">
        <v>0.75</v>
      </c>
      <c r="Z11" s="309">
        <v>15.625</v>
      </c>
      <c r="AA11" s="309" t="s">
        <v>360</v>
      </c>
      <c r="AB11" s="309" t="s">
        <v>364</v>
      </c>
      <c r="AC11" s="312">
        <v>43698</v>
      </c>
      <c r="AD11" s="309"/>
      <c r="AE11" s="309"/>
      <c r="AF11" s="309"/>
      <c r="AG11" s="309"/>
      <c r="AH11" s="309"/>
      <c r="AI11" s="309"/>
      <c r="AJ11" s="309"/>
      <c r="AK11" s="309"/>
      <c r="AL11" s="309"/>
      <c r="AM11" s="309"/>
      <c r="AN11" s="309"/>
      <c r="AO11" s="309"/>
      <c r="AP11" s="309"/>
      <c r="AQ11" s="309"/>
      <c r="AR11" s="309"/>
    </row>
    <row r="12" spans="1:44" ht="15" customHeight="1" x14ac:dyDescent="0.2">
      <c r="A12" s="307" t="s">
        <v>381</v>
      </c>
      <c r="B12" s="308">
        <v>0</v>
      </c>
      <c r="C12" s="309"/>
      <c r="D12" s="309" t="s">
        <v>378</v>
      </c>
      <c r="E12" s="309" t="s">
        <v>363</v>
      </c>
      <c r="F12" s="309"/>
      <c r="G12" s="309"/>
      <c r="H12" s="309"/>
      <c r="I12" s="309"/>
      <c r="J12" s="309"/>
      <c r="K12" s="309"/>
      <c r="L12" s="309"/>
      <c r="M12" s="310"/>
      <c r="N12" s="310"/>
      <c r="O12" s="310"/>
      <c r="P12" s="310"/>
      <c r="Q12" s="310"/>
      <c r="R12" s="310"/>
      <c r="S12" s="309">
        <v>1.5</v>
      </c>
      <c r="T12" s="309">
        <v>0.75</v>
      </c>
      <c r="U12" s="309">
        <v>21.5</v>
      </c>
      <c r="V12" s="311">
        <v>43528</v>
      </c>
      <c r="W12" s="309">
        <v>2</v>
      </c>
      <c r="X12" s="309">
        <v>3</v>
      </c>
      <c r="Y12" s="309">
        <v>0.75</v>
      </c>
      <c r="Z12" s="309">
        <v>15.625</v>
      </c>
      <c r="AA12" s="309" t="s">
        <v>360</v>
      </c>
      <c r="AB12" s="309" t="s">
        <v>364</v>
      </c>
      <c r="AC12" s="312">
        <v>43698</v>
      </c>
      <c r="AD12" s="309"/>
      <c r="AE12" s="309"/>
      <c r="AF12" s="309"/>
      <c r="AG12" s="309"/>
      <c r="AH12" s="309"/>
      <c r="AI12" s="309"/>
      <c r="AJ12" s="309"/>
      <c r="AK12" s="309"/>
      <c r="AL12" s="309"/>
      <c r="AM12" s="309"/>
      <c r="AN12" s="309"/>
      <c r="AO12" s="309"/>
      <c r="AP12" s="309"/>
      <c r="AQ12" s="309"/>
      <c r="AR12" s="309"/>
    </row>
    <row r="13" spans="1:44" ht="15" customHeight="1" x14ac:dyDescent="0.2">
      <c r="A13" s="307" t="s">
        <v>382</v>
      </c>
      <c r="B13" s="308">
        <v>75</v>
      </c>
      <c r="C13" s="309"/>
      <c r="D13" s="309" t="s">
        <v>378</v>
      </c>
      <c r="E13" s="309" t="s">
        <v>27</v>
      </c>
      <c r="F13" s="309"/>
      <c r="G13" s="309"/>
      <c r="H13" s="309"/>
      <c r="I13" s="309"/>
      <c r="J13" s="309"/>
      <c r="K13" s="309"/>
      <c r="L13" s="309"/>
      <c r="M13" s="310"/>
      <c r="N13" s="310"/>
      <c r="O13" s="310"/>
      <c r="P13" s="310"/>
      <c r="Q13" s="310"/>
      <c r="R13" s="310"/>
      <c r="S13" s="309">
        <v>1.5</v>
      </c>
      <c r="T13" s="309">
        <v>0.75</v>
      </c>
      <c r="U13" s="309">
        <v>21.5</v>
      </c>
      <c r="V13" s="311">
        <v>43654</v>
      </c>
      <c r="W13" s="309">
        <v>2</v>
      </c>
      <c r="X13" s="309">
        <v>4</v>
      </c>
      <c r="Y13" s="309">
        <v>0.75</v>
      </c>
      <c r="Z13" s="309">
        <v>17.25</v>
      </c>
      <c r="AA13" s="309" t="s">
        <v>360</v>
      </c>
      <c r="AB13" s="309" t="s">
        <v>364</v>
      </c>
      <c r="AC13" s="312">
        <v>43698</v>
      </c>
      <c r="AD13" s="309"/>
      <c r="AE13" s="309"/>
      <c r="AF13" s="309"/>
      <c r="AG13" s="309"/>
      <c r="AH13" s="309"/>
      <c r="AI13" s="309"/>
      <c r="AJ13" s="309"/>
      <c r="AK13" s="309"/>
      <c r="AL13" s="309"/>
      <c r="AM13" s="309"/>
      <c r="AN13" s="309"/>
      <c r="AO13" s="309"/>
      <c r="AP13" s="309"/>
      <c r="AQ13" s="309"/>
      <c r="AR13" s="309"/>
    </row>
    <row r="14" spans="1:44" ht="15" customHeight="1" x14ac:dyDescent="0.2">
      <c r="A14" s="304" t="s">
        <v>383</v>
      </c>
      <c r="B14" s="305"/>
      <c r="C14" s="200" t="s">
        <v>366</v>
      </c>
      <c r="D14" s="313" t="s">
        <v>378</v>
      </c>
      <c r="E14" s="200" t="s">
        <v>375</v>
      </c>
      <c r="F14" s="200"/>
      <c r="G14" s="200"/>
      <c r="H14" s="200"/>
      <c r="I14" s="200"/>
      <c r="J14" s="200"/>
      <c r="K14" s="200"/>
      <c r="L14" s="200"/>
      <c r="M14" s="306"/>
      <c r="N14" s="306"/>
      <c r="O14" s="306"/>
      <c r="P14" s="306"/>
      <c r="Q14" s="306"/>
      <c r="R14" s="306"/>
      <c r="S14" s="200">
        <v>1.5</v>
      </c>
      <c r="T14" s="200">
        <v>0.75</v>
      </c>
      <c r="U14" s="200">
        <v>21.5</v>
      </c>
      <c r="V14" s="314">
        <v>43654</v>
      </c>
      <c r="W14" s="200">
        <v>2</v>
      </c>
      <c r="X14" s="200">
        <v>4</v>
      </c>
      <c r="Y14" s="200">
        <v>0.75</v>
      </c>
      <c r="Z14" s="200">
        <v>17.25</v>
      </c>
      <c r="AA14" s="200" t="s">
        <v>360</v>
      </c>
      <c r="AB14" s="200" t="s">
        <v>364</v>
      </c>
      <c r="AC14" s="315">
        <v>43698</v>
      </c>
    </row>
    <row r="15" spans="1:44" ht="15" customHeight="1" x14ac:dyDescent="0.2">
      <c r="A15" s="317" t="s">
        <v>384</v>
      </c>
      <c r="B15" s="318"/>
      <c r="C15" s="319" t="s">
        <v>385</v>
      </c>
      <c r="D15" s="319" t="s">
        <v>386</v>
      </c>
      <c r="E15" s="319" t="s">
        <v>29</v>
      </c>
      <c r="F15" s="319"/>
      <c r="G15" s="319"/>
      <c r="H15" s="319"/>
      <c r="I15" s="319"/>
      <c r="J15" s="319"/>
      <c r="K15" s="319"/>
      <c r="L15" s="319"/>
      <c r="M15" s="320"/>
      <c r="N15" s="320"/>
      <c r="O15" s="320"/>
      <c r="P15" s="320"/>
      <c r="Q15" s="320"/>
      <c r="R15" s="320"/>
      <c r="S15" s="319">
        <v>1.5</v>
      </c>
      <c r="T15" s="319">
        <v>0.75</v>
      </c>
      <c r="U15" s="319">
        <v>21.5</v>
      </c>
      <c r="V15" s="321">
        <v>43528</v>
      </c>
      <c r="W15" s="319">
        <v>2</v>
      </c>
      <c r="X15" s="319">
        <v>3</v>
      </c>
      <c r="Y15" s="319">
        <v>0.75</v>
      </c>
      <c r="Z15" s="319">
        <v>15</v>
      </c>
      <c r="AA15" s="319" t="s">
        <v>360</v>
      </c>
      <c r="AB15" s="319" t="s">
        <v>364</v>
      </c>
      <c r="AC15" s="322">
        <v>43700</v>
      </c>
      <c r="AD15" s="319"/>
      <c r="AF15" s="319"/>
      <c r="AG15" s="319"/>
      <c r="AH15" s="319"/>
      <c r="AI15" s="319"/>
      <c r="AJ15" s="319"/>
      <c r="AK15" s="319"/>
      <c r="AL15" s="319"/>
      <c r="AM15" s="319"/>
      <c r="AN15" s="319"/>
      <c r="AO15" s="319"/>
      <c r="AP15" s="319"/>
      <c r="AQ15" s="319"/>
      <c r="AR15" s="319"/>
    </row>
    <row r="16" spans="1:44" ht="15" customHeight="1" x14ac:dyDescent="0.2">
      <c r="A16" s="304" t="s">
        <v>387</v>
      </c>
      <c r="B16" s="305"/>
      <c r="C16" s="200" t="s">
        <v>366</v>
      </c>
      <c r="D16" s="313" t="s">
        <v>386</v>
      </c>
      <c r="E16" s="200" t="s">
        <v>380</v>
      </c>
      <c r="F16" s="200"/>
      <c r="G16" s="200"/>
      <c r="H16" s="200"/>
      <c r="I16" s="200"/>
      <c r="J16" s="200"/>
      <c r="K16" s="200"/>
      <c r="L16" s="200"/>
      <c r="M16" s="306"/>
      <c r="N16" s="306"/>
      <c r="O16" s="306"/>
      <c r="P16" s="306"/>
      <c r="Q16" s="306"/>
      <c r="R16" s="306"/>
      <c r="S16" s="200">
        <v>1.5</v>
      </c>
      <c r="T16" s="200">
        <v>0.75</v>
      </c>
      <c r="U16" s="200">
        <v>21.5</v>
      </c>
      <c r="V16" s="314">
        <v>43528</v>
      </c>
      <c r="W16" s="200">
        <v>2</v>
      </c>
      <c r="X16" s="200">
        <v>3</v>
      </c>
      <c r="Y16" s="200">
        <v>0.75</v>
      </c>
      <c r="Z16" s="200">
        <v>15.625</v>
      </c>
      <c r="AA16" s="200" t="s">
        <v>360</v>
      </c>
      <c r="AB16" s="200" t="s">
        <v>364</v>
      </c>
      <c r="AC16" s="315">
        <v>43700</v>
      </c>
    </row>
    <row r="17" spans="1:44" ht="15" customHeight="1" x14ac:dyDescent="0.2">
      <c r="A17" s="307" t="s">
        <v>388</v>
      </c>
      <c r="B17" s="308">
        <v>0</v>
      </c>
      <c r="C17" s="309"/>
      <c r="D17" s="309" t="s">
        <v>386</v>
      </c>
      <c r="E17" s="309" t="s">
        <v>27</v>
      </c>
      <c r="F17" s="309"/>
      <c r="G17" s="309"/>
      <c r="H17" s="309"/>
      <c r="I17" s="309"/>
      <c r="J17" s="309"/>
      <c r="K17" s="309"/>
      <c r="L17" s="309"/>
      <c r="M17" s="310"/>
      <c r="N17" s="310"/>
      <c r="O17" s="310"/>
      <c r="P17" s="310"/>
      <c r="Q17" s="310"/>
      <c r="R17" s="310"/>
      <c r="S17" s="309">
        <v>1.5</v>
      </c>
      <c r="T17" s="309">
        <v>0.75</v>
      </c>
      <c r="U17" s="309">
        <v>23.75</v>
      </c>
      <c r="V17" s="311">
        <v>43654</v>
      </c>
      <c r="W17" s="309">
        <v>2</v>
      </c>
      <c r="X17" s="309">
        <v>4</v>
      </c>
      <c r="Y17" s="309">
        <v>0.75</v>
      </c>
      <c r="Z17" s="309">
        <v>15.625</v>
      </c>
      <c r="AA17" s="309" t="s">
        <v>360</v>
      </c>
      <c r="AB17" s="309" t="s">
        <v>364</v>
      </c>
      <c r="AC17" s="312">
        <v>43700</v>
      </c>
      <c r="AD17" s="309"/>
      <c r="AE17" s="309"/>
      <c r="AF17" s="309"/>
      <c r="AG17" s="309"/>
      <c r="AH17" s="309"/>
      <c r="AI17" s="309"/>
      <c r="AJ17" s="309"/>
      <c r="AK17" s="309"/>
      <c r="AL17" s="309"/>
      <c r="AM17" s="309"/>
      <c r="AN17" s="309"/>
      <c r="AO17" s="309"/>
      <c r="AP17" s="309"/>
      <c r="AQ17" s="309"/>
      <c r="AR17" s="309"/>
    </row>
    <row r="18" spans="1:44" ht="15" customHeight="1" x14ac:dyDescent="0.2">
      <c r="A18" s="307" t="s">
        <v>389</v>
      </c>
      <c r="B18" s="308">
        <v>0</v>
      </c>
      <c r="C18" s="309"/>
      <c r="D18" s="309" t="s">
        <v>386</v>
      </c>
      <c r="E18" s="309" t="s">
        <v>375</v>
      </c>
      <c r="F18" s="309"/>
      <c r="G18" s="309"/>
      <c r="H18" s="309"/>
      <c r="I18" s="309"/>
      <c r="J18" s="309"/>
      <c r="K18" s="309"/>
      <c r="L18" s="309"/>
      <c r="M18" s="310"/>
      <c r="N18" s="310"/>
      <c r="O18" s="310"/>
      <c r="P18" s="310"/>
      <c r="Q18" s="310"/>
      <c r="R18" s="310"/>
      <c r="S18" s="309">
        <v>1.5</v>
      </c>
      <c r="T18" s="309">
        <v>0.75</v>
      </c>
      <c r="U18" s="309">
        <v>28</v>
      </c>
      <c r="V18" s="311">
        <v>43654</v>
      </c>
      <c r="W18" s="309">
        <v>2</v>
      </c>
      <c r="X18" s="309">
        <v>4</v>
      </c>
      <c r="Y18" s="309">
        <v>0.75</v>
      </c>
      <c r="Z18" s="309">
        <v>17.25</v>
      </c>
      <c r="AA18" s="309" t="s">
        <v>360</v>
      </c>
      <c r="AB18" s="309" t="s">
        <v>364</v>
      </c>
      <c r="AC18" s="312">
        <v>43700</v>
      </c>
      <c r="AD18" s="309"/>
      <c r="AE18" s="309"/>
      <c r="AF18" s="309"/>
      <c r="AG18" s="309"/>
      <c r="AH18" s="309"/>
      <c r="AI18" s="309"/>
      <c r="AJ18" s="309"/>
      <c r="AK18" s="309"/>
      <c r="AL18" s="309"/>
      <c r="AM18" s="309"/>
      <c r="AN18" s="309"/>
      <c r="AO18" s="309"/>
      <c r="AP18" s="309"/>
      <c r="AQ18" s="309"/>
      <c r="AR18" s="309"/>
    </row>
    <row r="19" spans="1:44" ht="15" customHeight="1" x14ac:dyDescent="0.2">
      <c r="A19" s="317" t="s">
        <v>390</v>
      </c>
      <c r="B19" s="318"/>
      <c r="C19" s="319" t="s">
        <v>391</v>
      </c>
      <c r="D19" s="319" t="s">
        <v>386</v>
      </c>
      <c r="E19" s="319" t="s">
        <v>11</v>
      </c>
      <c r="F19" s="319"/>
      <c r="G19" s="319"/>
      <c r="H19" s="319"/>
      <c r="I19" s="319"/>
      <c r="J19" s="319"/>
      <c r="K19" s="319"/>
      <c r="L19" s="319"/>
      <c r="M19" s="320"/>
      <c r="N19" s="320"/>
      <c r="O19" s="320"/>
      <c r="P19" s="320"/>
      <c r="Q19" s="320"/>
      <c r="R19" s="320"/>
      <c r="S19" s="319">
        <v>1.5</v>
      </c>
      <c r="T19" s="319">
        <v>0.75</v>
      </c>
      <c r="U19" s="319">
        <v>32</v>
      </c>
      <c r="V19" s="321">
        <v>43654</v>
      </c>
      <c r="W19" s="319">
        <v>2</v>
      </c>
      <c r="X19" s="319">
        <v>4</v>
      </c>
      <c r="Y19" s="319">
        <v>0.75</v>
      </c>
      <c r="Z19" s="319">
        <v>17.25</v>
      </c>
      <c r="AA19" s="319" t="s">
        <v>360</v>
      </c>
      <c r="AB19" s="319" t="s">
        <v>364</v>
      </c>
      <c r="AC19" s="322">
        <v>43700</v>
      </c>
      <c r="AD19" s="319"/>
      <c r="AF19" s="319"/>
      <c r="AG19" s="319"/>
      <c r="AH19" s="319"/>
      <c r="AI19" s="319"/>
      <c r="AJ19" s="319"/>
      <c r="AK19" s="319"/>
      <c r="AL19" s="319"/>
      <c r="AM19" s="319"/>
      <c r="AN19" s="319"/>
      <c r="AO19" s="319"/>
      <c r="AP19" s="319"/>
      <c r="AQ19" s="319"/>
      <c r="AR19" s="319"/>
    </row>
    <row r="20" spans="1:44" ht="15" customHeight="1" x14ac:dyDescent="0.2">
      <c r="A20" s="307" t="s">
        <v>392</v>
      </c>
      <c r="B20" s="308"/>
      <c r="C20" s="309"/>
      <c r="D20" s="309" t="s">
        <v>393</v>
      </c>
      <c r="E20" s="309" t="s">
        <v>34</v>
      </c>
      <c r="F20" s="309"/>
      <c r="G20" s="309"/>
      <c r="H20" s="309"/>
      <c r="I20" s="309"/>
      <c r="J20" s="309"/>
      <c r="K20" s="309"/>
      <c r="L20" s="309"/>
      <c r="M20" s="310"/>
      <c r="N20" s="310"/>
      <c r="O20" s="310"/>
      <c r="P20" s="310"/>
      <c r="Q20" s="310"/>
      <c r="R20" s="310"/>
      <c r="S20" s="309">
        <v>1.25</v>
      </c>
      <c r="T20" s="309">
        <v>0.625</v>
      </c>
      <c r="U20" s="309">
        <v>23</v>
      </c>
      <c r="V20" s="311">
        <v>43593</v>
      </c>
      <c r="W20" s="309">
        <v>2</v>
      </c>
      <c r="X20" s="309">
        <v>2.5</v>
      </c>
      <c r="Y20" s="309">
        <v>0.75</v>
      </c>
      <c r="Z20" s="309">
        <v>17.75</v>
      </c>
      <c r="AA20" s="309" t="s">
        <v>360</v>
      </c>
      <c r="AB20" s="309" t="s">
        <v>364</v>
      </c>
      <c r="AC20" s="312">
        <v>43698</v>
      </c>
      <c r="AD20" s="309"/>
      <c r="AE20" s="309"/>
      <c r="AF20" s="309"/>
      <c r="AG20" s="309"/>
      <c r="AH20" s="309"/>
      <c r="AI20" s="309"/>
      <c r="AJ20" s="309"/>
      <c r="AK20" s="309"/>
      <c r="AL20" s="309"/>
      <c r="AM20" s="309"/>
      <c r="AN20" s="309"/>
      <c r="AO20" s="309"/>
      <c r="AP20" s="309"/>
      <c r="AQ20" s="309"/>
      <c r="AR20" s="309"/>
    </row>
    <row r="21" spans="1:44" ht="15" customHeight="1" x14ac:dyDescent="0.2">
      <c r="A21" s="304" t="s">
        <v>394</v>
      </c>
      <c r="B21" s="305"/>
      <c r="C21" s="200" t="s">
        <v>366</v>
      </c>
      <c r="D21" s="313" t="s">
        <v>393</v>
      </c>
      <c r="E21" s="200" t="s">
        <v>395</v>
      </c>
      <c r="M21" s="306"/>
      <c r="N21" s="306"/>
      <c r="O21" s="306"/>
      <c r="P21" s="306">
        <v>43753</v>
      </c>
      <c r="Q21" s="306"/>
      <c r="R21" s="306"/>
      <c r="S21" s="200">
        <v>1.25</v>
      </c>
      <c r="T21" s="200">
        <v>0.625</v>
      </c>
      <c r="U21" s="200">
        <v>23</v>
      </c>
      <c r="V21" s="314">
        <v>43593</v>
      </c>
      <c r="W21" s="200">
        <v>2</v>
      </c>
      <c r="X21" s="200">
        <v>2.5</v>
      </c>
      <c r="Y21" s="200">
        <v>0.75</v>
      </c>
      <c r="Z21" s="200">
        <v>17.75</v>
      </c>
      <c r="AA21" s="200" t="s">
        <v>360</v>
      </c>
      <c r="AB21" s="200" t="s">
        <v>364</v>
      </c>
      <c r="AC21" s="315">
        <v>43698</v>
      </c>
    </row>
    <row r="22" spans="1:44" ht="15" customHeight="1" x14ac:dyDescent="0.2">
      <c r="A22" s="307" t="s">
        <v>396</v>
      </c>
      <c r="B22" s="308"/>
      <c r="C22" s="309"/>
      <c r="D22" s="309" t="s">
        <v>393</v>
      </c>
      <c r="E22" s="309" t="s">
        <v>32</v>
      </c>
      <c r="F22" s="309"/>
      <c r="G22" s="309"/>
      <c r="H22" s="309"/>
      <c r="I22" s="309"/>
      <c r="J22" s="309"/>
      <c r="K22" s="309"/>
      <c r="L22" s="309"/>
      <c r="M22" s="310"/>
      <c r="N22" s="310"/>
      <c r="O22" s="310"/>
      <c r="P22" s="310"/>
      <c r="Q22" s="310"/>
      <c r="R22" s="310"/>
      <c r="S22" s="309">
        <v>1.25</v>
      </c>
      <c r="T22" s="309">
        <v>0.625</v>
      </c>
      <c r="U22" s="309">
        <v>23</v>
      </c>
      <c r="V22" s="311">
        <v>43593</v>
      </c>
      <c r="W22" s="309">
        <v>2</v>
      </c>
      <c r="X22" s="309">
        <v>2.5</v>
      </c>
      <c r="Y22" s="309">
        <v>0.75</v>
      </c>
      <c r="Z22" s="309">
        <v>17.75</v>
      </c>
      <c r="AA22" s="309" t="s">
        <v>360</v>
      </c>
      <c r="AB22" s="309" t="s">
        <v>364</v>
      </c>
      <c r="AC22" s="312">
        <v>43698</v>
      </c>
      <c r="AD22" s="309"/>
      <c r="AE22" s="309"/>
      <c r="AF22" s="309"/>
      <c r="AG22" s="309"/>
      <c r="AH22" s="309"/>
      <c r="AI22" s="309"/>
      <c r="AJ22" s="309"/>
      <c r="AK22" s="309"/>
      <c r="AL22" s="309"/>
      <c r="AM22" s="309"/>
      <c r="AN22" s="309"/>
      <c r="AO22" s="309"/>
      <c r="AP22" s="309"/>
      <c r="AQ22" s="309"/>
      <c r="AR22" s="309"/>
    </row>
    <row r="23" spans="1:44" ht="15" customHeight="1" x14ac:dyDescent="0.2">
      <c r="A23" s="307" t="s">
        <v>397</v>
      </c>
      <c r="B23" s="308"/>
      <c r="C23" s="309"/>
      <c r="D23" s="309" t="s">
        <v>398</v>
      </c>
      <c r="E23" s="309" t="s">
        <v>31</v>
      </c>
      <c r="F23" s="309"/>
      <c r="G23" s="309"/>
      <c r="H23" s="309"/>
      <c r="I23" s="309"/>
      <c r="J23" s="309"/>
      <c r="K23" s="309"/>
      <c r="L23" s="309"/>
      <c r="M23" s="310"/>
      <c r="N23" s="310"/>
      <c r="O23" s="310"/>
      <c r="P23" s="310"/>
      <c r="Q23" s="310"/>
      <c r="R23" s="310"/>
      <c r="S23" s="309">
        <v>1.5</v>
      </c>
      <c r="T23" s="309">
        <v>0.75</v>
      </c>
      <c r="U23" s="309">
        <v>17.125</v>
      </c>
      <c r="V23" s="311">
        <v>43528</v>
      </c>
      <c r="W23" s="309">
        <v>2</v>
      </c>
      <c r="X23" s="309">
        <v>3</v>
      </c>
      <c r="Y23" s="309">
        <v>0.5</v>
      </c>
      <c r="Z23" s="309">
        <v>11.5</v>
      </c>
      <c r="AA23" s="309" t="s">
        <v>360</v>
      </c>
      <c r="AB23" s="309" t="s">
        <v>364</v>
      </c>
      <c r="AC23" s="312">
        <v>43698</v>
      </c>
      <c r="AD23" s="309"/>
      <c r="AE23" s="309"/>
      <c r="AF23" s="309"/>
      <c r="AG23" s="309"/>
      <c r="AH23" s="309"/>
      <c r="AI23" s="309"/>
      <c r="AJ23" s="309"/>
      <c r="AK23" s="309"/>
      <c r="AL23" s="309"/>
      <c r="AM23" s="309"/>
      <c r="AN23" s="309"/>
      <c r="AO23" s="309"/>
      <c r="AP23" s="309"/>
      <c r="AQ23" s="309"/>
      <c r="AR23" s="309"/>
    </row>
    <row r="24" spans="1:44" ht="15" customHeight="1" x14ac:dyDescent="0.2">
      <c r="A24" s="307" t="s">
        <v>399</v>
      </c>
      <c r="B24" s="308"/>
      <c r="C24" s="309"/>
      <c r="D24" s="309" t="s">
        <v>398</v>
      </c>
      <c r="E24" s="309" t="s">
        <v>11</v>
      </c>
      <c r="F24" s="309"/>
      <c r="G24" s="309"/>
      <c r="H24" s="309"/>
      <c r="I24" s="309"/>
      <c r="J24" s="309"/>
      <c r="K24" s="309"/>
      <c r="L24" s="309"/>
      <c r="M24" s="310"/>
      <c r="N24" s="310"/>
      <c r="O24" s="310"/>
      <c r="P24" s="310"/>
      <c r="Q24" s="310"/>
      <c r="R24" s="310"/>
      <c r="S24" s="309">
        <v>1.5</v>
      </c>
      <c r="T24" s="309">
        <v>0.75</v>
      </c>
      <c r="U24" s="309">
        <v>26.875</v>
      </c>
      <c r="V24" s="311">
        <v>43654</v>
      </c>
      <c r="W24" s="309">
        <v>2</v>
      </c>
      <c r="X24" s="309">
        <v>4</v>
      </c>
      <c r="Y24" s="309">
        <v>0.75</v>
      </c>
      <c r="Z24" s="309"/>
      <c r="AA24" s="309" t="s">
        <v>360</v>
      </c>
      <c r="AB24" s="309" t="s">
        <v>364</v>
      </c>
      <c r="AC24" s="312">
        <v>43698</v>
      </c>
      <c r="AD24" s="309"/>
      <c r="AE24" s="309"/>
      <c r="AF24" s="309"/>
      <c r="AG24" s="309"/>
      <c r="AH24" s="309"/>
      <c r="AI24" s="309"/>
      <c r="AJ24" s="309"/>
      <c r="AK24" s="309"/>
      <c r="AL24" s="309"/>
      <c r="AM24" s="309"/>
      <c r="AN24" s="309"/>
      <c r="AO24" s="309"/>
      <c r="AP24" s="309"/>
      <c r="AQ24" s="309"/>
      <c r="AR24" s="309"/>
    </row>
    <row r="25" spans="1:44" ht="15" customHeight="1" x14ac:dyDescent="0.2">
      <c r="A25" s="304" t="s">
        <v>400</v>
      </c>
      <c r="B25" s="305"/>
      <c r="C25" s="200" t="s">
        <v>366</v>
      </c>
      <c r="D25" s="313" t="s">
        <v>386</v>
      </c>
      <c r="E25" s="200" t="s">
        <v>24</v>
      </c>
      <c r="M25" s="306"/>
      <c r="N25" s="306"/>
      <c r="O25" s="306"/>
      <c r="P25" s="306"/>
      <c r="Q25" s="306"/>
      <c r="R25" s="306"/>
      <c r="S25" s="200">
        <v>1.75</v>
      </c>
      <c r="T25" s="200">
        <v>0.875</v>
      </c>
      <c r="U25" s="200">
        <v>28.75</v>
      </c>
      <c r="V25" s="200">
        <v>1</v>
      </c>
      <c r="W25" s="200">
        <v>2</v>
      </c>
      <c r="X25" s="200">
        <v>4.5</v>
      </c>
      <c r="Y25" s="200">
        <v>0.75</v>
      </c>
      <c r="Z25" s="200">
        <v>21.25</v>
      </c>
      <c r="AA25" s="200" t="s">
        <v>401</v>
      </c>
      <c r="AB25" s="200" t="s">
        <v>364</v>
      </c>
      <c r="AC25" s="315">
        <v>43700</v>
      </c>
    </row>
    <row r="26" spans="1:44" ht="15" customHeight="1" x14ac:dyDescent="0.2">
      <c r="A26" s="317" t="s">
        <v>402</v>
      </c>
      <c r="B26" s="318"/>
      <c r="C26" s="319" t="s">
        <v>403</v>
      </c>
      <c r="D26" s="319" t="s">
        <v>404</v>
      </c>
      <c r="E26" s="319" t="s">
        <v>405</v>
      </c>
      <c r="F26" s="319"/>
      <c r="G26" s="319"/>
      <c r="H26" s="319"/>
      <c r="I26" s="319"/>
      <c r="J26" s="319"/>
      <c r="K26" s="319"/>
      <c r="L26" s="319"/>
      <c r="M26" s="320"/>
      <c r="N26" s="320"/>
      <c r="O26" s="320"/>
      <c r="P26" s="320"/>
      <c r="Q26" s="320"/>
      <c r="R26" s="320"/>
      <c r="S26" s="319">
        <v>1.75</v>
      </c>
      <c r="T26" s="319">
        <v>0.875</v>
      </c>
      <c r="U26" s="319">
        <v>27.25</v>
      </c>
      <c r="V26" s="319">
        <v>1</v>
      </c>
      <c r="W26" s="319">
        <v>2</v>
      </c>
      <c r="X26" s="319">
        <v>4.5</v>
      </c>
      <c r="Y26" s="319">
        <v>0.75</v>
      </c>
      <c r="Z26" s="319">
        <v>20</v>
      </c>
      <c r="AA26" s="319" t="s">
        <v>401</v>
      </c>
      <c r="AB26" s="319" t="s">
        <v>364</v>
      </c>
      <c r="AC26" s="322">
        <v>43700</v>
      </c>
      <c r="AD26" s="319"/>
      <c r="AE26" s="319"/>
      <c r="AF26" s="319"/>
      <c r="AG26" s="319"/>
      <c r="AH26" s="319"/>
      <c r="AI26" s="319"/>
      <c r="AJ26" s="319"/>
      <c r="AK26" s="319"/>
      <c r="AL26" s="319"/>
      <c r="AM26" s="319"/>
      <c r="AN26" s="319"/>
      <c r="AO26" s="319"/>
      <c r="AP26" s="319"/>
      <c r="AQ26" s="319"/>
      <c r="AR26" s="319"/>
    </row>
    <row r="27" spans="1:44" ht="15" customHeight="1" x14ac:dyDescent="0.2">
      <c r="A27" s="317" t="s">
        <v>406</v>
      </c>
      <c r="B27" s="318"/>
      <c r="C27" s="319" t="s">
        <v>403</v>
      </c>
      <c r="D27" s="319" t="s">
        <v>407</v>
      </c>
      <c r="E27" s="319" t="s">
        <v>25</v>
      </c>
      <c r="F27" s="319"/>
      <c r="G27" s="319"/>
      <c r="H27" s="319"/>
      <c r="I27" s="319"/>
      <c r="J27" s="319"/>
      <c r="K27" s="319"/>
      <c r="L27" s="319"/>
      <c r="M27" s="320"/>
      <c r="N27" s="320"/>
      <c r="O27" s="320"/>
      <c r="P27" s="320"/>
      <c r="Q27" s="320"/>
      <c r="R27" s="320"/>
      <c r="S27" s="319">
        <v>1.75</v>
      </c>
      <c r="T27" s="319">
        <v>0.875</v>
      </c>
      <c r="U27" s="319">
        <v>26.25</v>
      </c>
      <c r="V27" s="319">
        <v>1</v>
      </c>
      <c r="W27" s="319">
        <v>2</v>
      </c>
      <c r="X27" s="319">
        <v>4.5</v>
      </c>
      <c r="Y27" s="319">
        <v>0.75</v>
      </c>
      <c r="Z27" s="319">
        <v>19</v>
      </c>
      <c r="AA27" s="319" t="s">
        <v>401</v>
      </c>
      <c r="AB27" s="319" t="s">
        <v>364</v>
      </c>
      <c r="AC27" s="322">
        <v>43700</v>
      </c>
      <c r="AD27" s="319"/>
      <c r="AE27" s="319"/>
      <c r="AF27" s="319"/>
      <c r="AG27" s="319"/>
      <c r="AH27" s="319"/>
      <c r="AI27" s="319"/>
      <c r="AJ27" s="319"/>
      <c r="AK27" s="319"/>
      <c r="AL27" s="319"/>
      <c r="AM27" s="319"/>
      <c r="AN27" s="319"/>
      <c r="AO27" s="319"/>
      <c r="AP27" s="319"/>
      <c r="AQ27" s="319"/>
      <c r="AR27" s="319"/>
    </row>
    <row r="28" spans="1:44" ht="15" customHeight="1" x14ac:dyDescent="0.2">
      <c r="A28" s="307" t="s">
        <v>408</v>
      </c>
      <c r="B28" s="308">
        <v>100</v>
      </c>
      <c r="C28" s="309"/>
      <c r="D28" s="309" t="s">
        <v>409</v>
      </c>
      <c r="E28" s="309" t="s">
        <v>24</v>
      </c>
      <c r="F28" s="309"/>
      <c r="G28" s="309"/>
      <c r="H28" s="309"/>
      <c r="I28" s="309"/>
      <c r="J28" s="309"/>
      <c r="K28" s="309"/>
      <c r="L28" s="309"/>
      <c r="M28" s="310"/>
      <c r="N28" s="310"/>
      <c r="O28" s="310"/>
      <c r="P28" s="310"/>
      <c r="Q28" s="310"/>
      <c r="R28" s="310"/>
      <c r="S28" s="309">
        <v>1.75</v>
      </c>
      <c r="T28" s="309">
        <v>0.875</v>
      </c>
      <c r="U28" s="309">
        <v>28.625</v>
      </c>
      <c r="V28" s="309">
        <v>1</v>
      </c>
      <c r="W28" s="309">
        <v>2</v>
      </c>
      <c r="X28" s="309">
        <v>4.5</v>
      </c>
      <c r="Y28" s="309">
        <v>0.75</v>
      </c>
      <c r="Z28" s="309">
        <v>21.25</v>
      </c>
      <c r="AA28" s="309" t="s">
        <v>401</v>
      </c>
      <c r="AB28" s="309" t="s">
        <v>364</v>
      </c>
      <c r="AC28" s="312">
        <v>43700</v>
      </c>
      <c r="AD28" s="309"/>
      <c r="AE28" s="309"/>
      <c r="AF28" s="309"/>
      <c r="AG28" s="309"/>
      <c r="AH28" s="309"/>
      <c r="AI28" s="309"/>
      <c r="AJ28" s="309"/>
      <c r="AK28" s="309"/>
      <c r="AL28" s="309"/>
      <c r="AM28" s="309"/>
      <c r="AN28" s="309"/>
      <c r="AO28" s="309"/>
      <c r="AP28" s="309"/>
      <c r="AQ28" s="309"/>
      <c r="AR28" s="309"/>
    </row>
    <row r="29" spans="1:44" ht="15" customHeight="1" x14ac:dyDescent="0.2">
      <c r="A29" s="317" t="s">
        <v>410</v>
      </c>
      <c r="B29" s="318"/>
      <c r="C29" s="319" t="s">
        <v>411</v>
      </c>
      <c r="D29" s="319" t="s">
        <v>409</v>
      </c>
      <c r="E29" s="319" t="s">
        <v>25</v>
      </c>
      <c r="F29" s="319"/>
      <c r="G29" s="319"/>
      <c r="H29" s="319"/>
      <c r="I29" s="319"/>
      <c r="J29" s="319"/>
      <c r="K29" s="319"/>
      <c r="L29" s="319"/>
      <c r="M29" s="320"/>
      <c r="N29" s="320"/>
      <c r="O29" s="320"/>
      <c r="P29" s="320"/>
      <c r="Q29" s="320"/>
      <c r="R29" s="320"/>
      <c r="S29" s="319">
        <v>1.75</v>
      </c>
      <c r="T29" s="319">
        <v>0.875</v>
      </c>
      <c r="U29" s="319">
        <v>26.125</v>
      </c>
      <c r="V29" s="319">
        <v>1</v>
      </c>
      <c r="W29" s="319">
        <v>2</v>
      </c>
      <c r="X29" s="319">
        <v>4.5</v>
      </c>
      <c r="Y29" s="319">
        <v>0.75</v>
      </c>
      <c r="Z29" s="319">
        <v>18.875</v>
      </c>
      <c r="AA29" s="319" t="s">
        <v>401</v>
      </c>
      <c r="AB29" s="319" t="s">
        <v>364</v>
      </c>
      <c r="AC29" s="322">
        <v>43700</v>
      </c>
      <c r="AD29" s="319"/>
      <c r="AF29" s="319"/>
      <c r="AG29" s="319"/>
      <c r="AH29" s="319"/>
      <c r="AI29" s="319"/>
      <c r="AJ29" s="319"/>
      <c r="AK29" s="319"/>
      <c r="AL29" s="319"/>
      <c r="AM29" s="319"/>
      <c r="AN29" s="319"/>
      <c r="AO29" s="319"/>
      <c r="AP29" s="319"/>
      <c r="AQ29" s="319"/>
      <c r="AR29" s="319"/>
    </row>
    <row r="30" spans="1:44" ht="15" customHeight="1" x14ac:dyDescent="0.2">
      <c r="A30" s="304" t="s">
        <v>412</v>
      </c>
      <c r="B30" s="305"/>
      <c r="C30" s="200" t="s">
        <v>366</v>
      </c>
      <c r="D30" s="313" t="s">
        <v>393</v>
      </c>
      <c r="E30" s="200" t="s">
        <v>34</v>
      </c>
      <c r="F30" s="200">
        <v>0.32500000000000001</v>
      </c>
      <c r="G30" s="200">
        <v>1.4</v>
      </c>
      <c r="H30" s="200">
        <v>0.64</v>
      </c>
      <c r="J30" s="200" t="s">
        <v>413</v>
      </c>
      <c r="K30" s="200"/>
      <c r="L30" s="200" t="s">
        <v>414</v>
      </c>
      <c r="M30" s="306"/>
      <c r="N30" s="306"/>
      <c r="O30" s="306"/>
      <c r="P30" s="306"/>
      <c r="Q30" s="306"/>
      <c r="R30" s="306"/>
      <c r="S30" s="200">
        <v>2</v>
      </c>
    </row>
    <row r="31" spans="1:44" ht="15" customHeight="1" x14ac:dyDescent="0.2">
      <c r="A31" s="317" t="s">
        <v>415</v>
      </c>
      <c r="B31" s="318"/>
      <c r="C31" s="319" t="s">
        <v>416</v>
      </c>
      <c r="D31" s="319" t="s">
        <v>398</v>
      </c>
      <c r="E31" s="319" t="s">
        <v>36</v>
      </c>
      <c r="F31" s="319"/>
      <c r="G31" s="319"/>
      <c r="H31" s="319"/>
      <c r="I31" s="319">
        <v>1</v>
      </c>
      <c r="J31" s="319"/>
      <c r="K31" s="319"/>
      <c r="L31" s="319" t="s">
        <v>417</v>
      </c>
      <c r="M31" s="320"/>
      <c r="N31" s="320"/>
      <c r="O31" s="320"/>
      <c r="P31" s="320"/>
      <c r="Q31" s="320"/>
      <c r="R31" s="320"/>
      <c r="S31" s="319">
        <v>2</v>
      </c>
      <c r="T31" s="319"/>
      <c r="U31" s="319"/>
      <c r="V31" s="319"/>
      <c r="W31" s="319"/>
      <c r="X31" s="319"/>
      <c r="Y31" s="319"/>
      <c r="Z31" s="319"/>
      <c r="AA31" s="319"/>
      <c r="AB31" s="319"/>
      <c r="AC31" s="319"/>
      <c r="AD31" s="319"/>
      <c r="AE31" s="319"/>
      <c r="AF31" s="319"/>
      <c r="AG31" s="319"/>
      <c r="AH31" s="319"/>
      <c r="AI31" s="319"/>
      <c r="AJ31" s="319"/>
      <c r="AK31" s="319"/>
      <c r="AL31" s="319"/>
      <c r="AM31" s="319"/>
      <c r="AN31" s="319"/>
      <c r="AO31" s="319"/>
      <c r="AP31" s="319"/>
      <c r="AQ31" s="319"/>
      <c r="AR31" s="319"/>
    </row>
    <row r="32" spans="1:44" ht="15" customHeight="1" x14ac:dyDescent="0.2">
      <c r="A32" s="317" t="s">
        <v>418</v>
      </c>
      <c r="B32" s="318"/>
      <c r="C32" s="319" t="s">
        <v>416</v>
      </c>
      <c r="D32" s="319" t="s">
        <v>419</v>
      </c>
      <c r="E32" s="319" t="s">
        <v>24</v>
      </c>
      <c r="F32" s="319">
        <v>0.45500000000000002</v>
      </c>
      <c r="G32" s="319">
        <v>1.48</v>
      </c>
      <c r="H32" s="319">
        <v>0.78</v>
      </c>
      <c r="I32" s="319">
        <v>1</v>
      </c>
      <c r="J32" s="319"/>
      <c r="K32" s="319"/>
      <c r="L32" s="319"/>
      <c r="M32" s="320"/>
      <c r="N32" s="320"/>
      <c r="O32" s="320"/>
      <c r="P32" s="320"/>
      <c r="Q32" s="320"/>
      <c r="R32" s="320"/>
      <c r="S32" s="319">
        <v>2</v>
      </c>
      <c r="T32" s="319"/>
      <c r="U32" s="319"/>
      <c r="V32" s="319"/>
      <c r="W32" s="319"/>
      <c r="X32" s="319"/>
      <c r="Y32" s="319"/>
      <c r="Z32" s="319"/>
      <c r="AA32" s="319"/>
      <c r="AB32" s="319"/>
      <c r="AC32" s="319"/>
      <c r="AD32" s="319"/>
      <c r="AE32" s="319"/>
      <c r="AF32" s="319"/>
      <c r="AG32" s="319"/>
      <c r="AH32" s="319"/>
      <c r="AI32" s="319"/>
      <c r="AJ32" s="319"/>
      <c r="AK32" s="319"/>
      <c r="AL32" s="319"/>
      <c r="AM32" s="319"/>
      <c r="AN32" s="319"/>
      <c r="AO32" s="319"/>
      <c r="AP32" s="319"/>
      <c r="AQ32" s="319"/>
      <c r="AR32" s="319"/>
    </row>
    <row r="33" spans="1:44" ht="15" customHeight="1" x14ac:dyDescent="0.2">
      <c r="A33" s="317" t="s">
        <v>420</v>
      </c>
      <c r="B33" s="318"/>
      <c r="C33" s="319" t="s">
        <v>403</v>
      </c>
      <c r="D33" s="319" t="s">
        <v>419</v>
      </c>
      <c r="E33" s="319" t="s">
        <v>11</v>
      </c>
      <c r="F33" s="319">
        <v>0.47799999999999998</v>
      </c>
      <c r="G33" s="319">
        <v>1.93</v>
      </c>
      <c r="H33" s="319">
        <v>0.74</v>
      </c>
      <c r="I33" s="319"/>
      <c r="J33" s="319" t="s">
        <v>421</v>
      </c>
      <c r="K33" s="319"/>
      <c r="L33" s="319" t="s">
        <v>422</v>
      </c>
      <c r="M33" s="320"/>
      <c r="N33" s="320"/>
      <c r="O33" s="320"/>
      <c r="P33" s="320"/>
      <c r="Q33" s="320"/>
      <c r="R33" s="320"/>
      <c r="S33" s="319">
        <v>2.25</v>
      </c>
      <c r="T33" s="319"/>
      <c r="U33" s="319"/>
      <c r="V33" s="319"/>
      <c r="W33" s="319"/>
      <c r="X33" s="319"/>
      <c r="Y33" s="319"/>
      <c r="Z33" s="319"/>
      <c r="AA33" s="319"/>
      <c r="AB33" s="319"/>
      <c r="AC33" s="319"/>
      <c r="AD33" s="319"/>
      <c r="AE33" s="319"/>
      <c r="AF33" s="319"/>
      <c r="AG33" s="319"/>
      <c r="AH33" s="319"/>
      <c r="AI33" s="319"/>
      <c r="AJ33" s="319"/>
      <c r="AK33" s="319"/>
      <c r="AL33" s="319"/>
      <c r="AM33" s="319"/>
      <c r="AN33" s="319"/>
      <c r="AO33" s="319"/>
      <c r="AP33" s="319"/>
      <c r="AQ33" s="319"/>
      <c r="AR33" s="319"/>
    </row>
    <row r="34" spans="1:44" ht="15" customHeight="1" x14ac:dyDescent="0.2">
      <c r="A34" s="323" t="s">
        <v>423</v>
      </c>
      <c r="B34" s="324">
        <v>0</v>
      </c>
      <c r="C34" s="313"/>
      <c r="D34" s="313" t="s">
        <v>419</v>
      </c>
      <c r="E34" s="313" t="s">
        <v>424</v>
      </c>
      <c r="F34" s="313">
        <v>0.44900000000000001</v>
      </c>
      <c r="G34" s="313">
        <v>1.62</v>
      </c>
      <c r="H34" s="313">
        <v>0.73</v>
      </c>
      <c r="I34" s="313"/>
      <c r="J34" s="313"/>
      <c r="K34" s="313"/>
      <c r="L34" s="313" t="s">
        <v>425</v>
      </c>
      <c r="M34" s="325"/>
      <c r="N34" s="325"/>
      <c r="O34" s="325"/>
      <c r="P34" s="325"/>
      <c r="Q34" s="325"/>
      <c r="R34" s="325"/>
      <c r="S34" s="313">
        <v>2.25</v>
      </c>
      <c r="T34" s="313"/>
      <c r="U34" s="313"/>
      <c r="V34" s="313"/>
      <c r="W34" s="313"/>
      <c r="X34" s="313"/>
      <c r="Y34" s="313"/>
      <c r="Z34" s="313"/>
      <c r="AA34" s="313"/>
      <c r="AB34" s="313"/>
      <c r="AC34" s="313"/>
      <c r="AD34" s="313"/>
      <c r="AE34" s="313"/>
      <c r="AF34" s="313"/>
      <c r="AG34" s="313"/>
      <c r="AH34" s="313"/>
      <c r="AI34" s="313"/>
      <c r="AJ34" s="313"/>
      <c r="AK34" s="313"/>
      <c r="AL34" s="313"/>
      <c r="AM34" s="313"/>
      <c r="AN34" s="313"/>
      <c r="AO34" s="313"/>
      <c r="AP34" s="313"/>
      <c r="AQ34" s="313"/>
      <c r="AR34" s="313"/>
    </row>
    <row r="35" spans="1:44" ht="15" customHeight="1" x14ac:dyDescent="0.2">
      <c r="A35" s="317" t="s">
        <v>426</v>
      </c>
      <c r="B35" s="318"/>
      <c r="C35" s="319" t="s">
        <v>427</v>
      </c>
      <c r="D35" s="319" t="s">
        <v>419</v>
      </c>
      <c r="E35" s="319" t="s">
        <v>26</v>
      </c>
      <c r="F35" s="319"/>
      <c r="G35" s="319"/>
      <c r="H35" s="319"/>
      <c r="I35" s="319"/>
      <c r="J35" s="319"/>
      <c r="K35" s="319"/>
      <c r="L35" s="319" t="s">
        <v>428</v>
      </c>
      <c r="M35" s="320"/>
      <c r="N35" s="320"/>
      <c r="O35" s="320"/>
      <c r="P35" s="320"/>
      <c r="Q35" s="320"/>
      <c r="R35" s="320"/>
      <c r="S35" s="319"/>
      <c r="T35" s="319"/>
      <c r="U35" s="319"/>
      <c r="V35" s="319"/>
      <c r="W35" s="319"/>
      <c r="X35" s="319"/>
      <c r="Y35" s="319"/>
      <c r="Z35" s="319"/>
      <c r="AA35" s="319"/>
      <c r="AB35" s="319"/>
      <c r="AC35" s="319"/>
      <c r="AD35" s="319"/>
      <c r="AF35" s="319"/>
      <c r="AG35" s="319"/>
      <c r="AH35" s="319"/>
      <c r="AI35" s="319"/>
      <c r="AJ35" s="319"/>
      <c r="AK35" s="319"/>
      <c r="AL35" s="319"/>
      <c r="AM35" s="319"/>
      <c r="AN35" s="319"/>
      <c r="AO35" s="319"/>
      <c r="AP35" s="319"/>
      <c r="AQ35" s="319"/>
      <c r="AR35" s="319"/>
    </row>
    <row r="36" spans="1:44" ht="15" customHeight="1" x14ac:dyDescent="0.2">
      <c r="A36" s="317" t="s">
        <v>429</v>
      </c>
      <c r="B36" s="318"/>
      <c r="C36" s="319" t="s">
        <v>403</v>
      </c>
      <c r="D36" s="319" t="s">
        <v>419</v>
      </c>
      <c r="E36" s="319" t="s">
        <v>28</v>
      </c>
      <c r="F36" s="319">
        <v>0.38300000000000001</v>
      </c>
      <c r="G36" s="319">
        <v>1.78</v>
      </c>
      <c r="H36" s="319">
        <v>0.68700000000000006</v>
      </c>
      <c r="I36" s="319">
        <v>1</v>
      </c>
      <c r="J36" s="319" t="s">
        <v>430</v>
      </c>
      <c r="K36" s="319"/>
      <c r="L36" s="319" t="s">
        <v>431</v>
      </c>
      <c r="M36" s="320"/>
      <c r="N36" s="320"/>
      <c r="O36" s="320"/>
      <c r="P36" s="320"/>
      <c r="Q36" s="320"/>
      <c r="R36" s="320"/>
      <c r="S36" s="319"/>
      <c r="T36" s="319"/>
      <c r="U36" s="319"/>
      <c r="V36" s="319"/>
      <c r="W36" s="319"/>
      <c r="X36" s="319"/>
      <c r="Y36" s="319"/>
      <c r="Z36" s="319"/>
      <c r="AA36" s="319"/>
      <c r="AB36" s="319"/>
      <c r="AC36" s="319"/>
      <c r="AD36" s="319"/>
      <c r="AE36" s="319"/>
      <c r="AF36" s="319"/>
      <c r="AG36" s="319"/>
      <c r="AH36" s="319"/>
      <c r="AI36" s="319"/>
      <c r="AJ36" s="319"/>
      <c r="AK36" s="319"/>
      <c r="AL36" s="319"/>
      <c r="AM36" s="319"/>
      <c r="AN36" s="319"/>
      <c r="AO36" s="319"/>
      <c r="AP36" s="319"/>
      <c r="AQ36" s="319"/>
      <c r="AR36" s="319"/>
    </row>
    <row r="37" spans="1:44" ht="15" customHeight="1" x14ac:dyDescent="0.2">
      <c r="A37" s="317" t="s">
        <v>432</v>
      </c>
      <c r="B37" s="318"/>
      <c r="C37" s="319" t="s">
        <v>433</v>
      </c>
      <c r="D37" s="319" t="s">
        <v>419</v>
      </c>
      <c r="E37" s="319" t="s">
        <v>28</v>
      </c>
      <c r="F37" s="319">
        <v>0.42</v>
      </c>
      <c r="G37" s="319">
        <v>2.0499999999999998</v>
      </c>
      <c r="H37" s="319">
        <v>0.7</v>
      </c>
      <c r="I37" s="319"/>
      <c r="J37" s="319"/>
      <c r="K37" s="319"/>
      <c r="L37" s="319" t="s">
        <v>434</v>
      </c>
      <c r="M37" s="320"/>
      <c r="N37" s="320"/>
      <c r="O37" s="320"/>
      <c r="P37" s="320"/>
      <c r="Q37" s="320"/>
      <c r="R37" s="320"/>
      <c r="S37" s="319"/>
      <c r="T37" s="319"/>
      <c r="U37" s="319"/>
      <c r="V37" s="319"/>
      <c r="W37" s="319"/>
      <c r="X37" s="319"/>
      <c r="Y37" s="319"/>
      <c r="Z37" s="319"/>
      <c r="AA37" s="319"/>
      <c r="AB37" s="319"/>
      <c r="AC37" s="319"/>
      <c r="AD37" s="319"/>
      <c r="AE37" s="319"/>
      <c r="AF37" s="319"/>
      <c r="AG37" s="319"/>
      <c r="AH37" s="319"/>
      <c r="AI37" s="319"/>
      <c r="AJ37" s="319"/>
      <c r="AK37" s="319"/>
      <c r="AL37" s="319"/>
      <c r="AM37" s="319"/>
      <c r="AN37" s="319"/>
      <c r="AO37" s="319"/>
      <c r="AP37" s="319"/>
      <c r="AQ37" s="319"/>
      <c r="AR37" s="319"/>
    </row>
    <row r="38" spans="1:44" ht="15" customHeight="1" x14ac:dyDescent="0.2">
      <c r="A38" s="304" t="s">
        <v>435</v>
      </c>
      <c r="B38" s="305"/>
      <c r="C38" s="200" t="s">
        <v>366</v>
      </c>
      <c r="D38" s="313" t="s">
        <v>419</v>
      </c>
      <c r="E38" s="200" t="s">
        <v>30</v>
      </c>
      <c r="F38" s="200">
        <v>0.375</v>
      </c>
      <c r="G38" s="200">
        <v>1.76</v>
      </c>
      <c r="H38" s="200">
        <v>0.61</v>
      </c>
      <c r="J38" s="200" t="s">
        <v>436</v>
      </c>
      <c r="K38" s="200"/>
      <c r="L38" s="200" t="s">
        <v>437</v>
      </c>
      <c r="M38" s="306"/>
      <c r="N38" s="306"/>
      <c r="O38" s="306"/>
      <c r="P38" s="306"/>
      <c r="Q38" s="306"/>
      <c r="R38" s="306"/>
      <c r="S38" s="200">
        <v>1.5</v>
      </c>
    </row>
    <row r="39" spans="1:44" ht="15" customHeight="1" x14ac:dyDescent="0.2">
      <c r="A39" s="317" t="s">
        <v>438</v>
      </c>
      <c r="B39" s="318"/>
      <c r="C39" s="319" t="s">
        <v>403</v>
      </c>
      <c r="D39" s="319" t="s">
        <v>419</v>
      </c>
      <c r="E39" s="319" t="s">
        <v>30</v>
      </c>
      <c r="F39" s="319">
        <v>0.313</v>
      </c>
      <c r="G39" s="319">
        <v>1.77</v>
      </c>
      <c r="H39" s="319">
        <v>0.56999999999999995</v>
      </c>
      <c r="I39" s="319">
        <v>1</v>
      </c>
      <c r="J39" s="319"/>
      <c r="K39" s="319"/>
      <c r="L39" s="319" t="s">
        <v>439</v>
      </c>
      <c r="M39" s="320"/>
      <c r="N39" s="320"/>
      <c r="O39" s="320"/>
      <c r="P39" s="320"/>
      <c r="Q39" s="320"/>
      <c r="R39" s="320"/>
      <c r="S39" s="319">
        <v>1.5</v>
      </c>
      <c r="T39" s="319"/>
      <c r="U39" s="319"/>
      <c r="V39" s="319"/>
      <c r="W39" s="319"/>
      <c r="X39" s="319"/>
      <c r="Y39" s="319"/>
      <c r="Z39" s="319"/>
      <c r="AA39" s="319"/>
      <c r="AB39" s="319"/>
      <c r="AC39" s="319"/>
      <c r="AD39" s="319"/>
      <c r="AE39" s="319"/>
      <c r="AF39" s="319"/>
      <c r="AG39" s="319"/>
      <c r="AH39" s="319"/>
      <c r="AI39" s="319"/>
      <c r="AJ39" s="319"/>
      <c r="AK39" s="319"/>
      <c r="AL39" s="319"/>
      <c r="AM39" s="319"/>
      <c r="AN39" s="319"/>
      <c r="AO39" s="319"/>
      <c r="AP39" s="319"/>
      <c r="AQ39" s="319"/>
      <c r="AR39" s="319"/>
    </row>
    <row r="40" spans="1:44" ht="15" customHeight="1" x14ac:dyDescent="0.2">
      <c r="A40" s="317" t="s">
        <v>440</v>
      </c>
      <c r="B40" s="318"/>
      <c r="C40" s="319" t="s">
        <v>441</v>
      </c>
      <c r="D40" s="319" t="s">
        <v>419</v>
      </c>
      <c r="E40" s="319" t="s">
        <v>31</v>
      </c>
      <c r="F40" s="319"/>
      <c r="G40" s="319"/>
      <c r="H40" s="319"/>
      <c r="I40" s="319"/>
      <c r="J40" s="319"/>
      <c r="K40" s="319"/>
      <c r="L40" s="319" t="s">
        <v>442</v>
      </c>
      <c r="M40" s="320"/>
      <c r="N40" s="320"/>
      <c r="O40" s="320"/>
      <c r="P40" s="320"/>
      <c r="Q40" s="320"/>
      <c r="R40" s="320"/>
      <c r="S40" s="319">
        <v>1.5</v>
      </c>
      <c r="T40" s="319"/>
      <c r="U40" s="319"/>
      <c r="V40" s="319"/>
      <c r="W40" s="319"/>
      <c r="X40" s="319"/>
      <c r="Y40" s="319"/>
      <c r="Z40" s="319"/>
      <c r="AA40" s="319"/>
      <c r="AB40" s="319"/>
      <c r="AC40" s="319"/>
      <c r="AD40" s="319"/>
      <c r="AE40" s="319"/>
      <c r="AF40" s="319"/>
      <c r="AG40" s="319"/>
      <c r="AH40" s="319"/>
      <c r="AI40" s="319"/>
      <c r="AJ40" s="319"/>
      <c r="AK40" s="319"/>
      <c r="AL40" s="319"/>
      <c r="AM40" s="319"/>
      <c r="AN40" s="319"/>
      <c r="AO40" s="319"/>
      <c r="AP40" s="319"/>
      <c r="AQ40" s="319"/>
      <c r="AR40" s="319"/>
    </row>
    <row r="41" spans="1:44" ht="15" customHeight="1" x14ac:dyDescent="0.2">
      <c r="A41" s="304" t="s">
        <v>443</v>
      </c>
      <c r="B41" s="305"/>
      <c r="C41" s="200" t="s">
        <v>366</v>
      </c>
      <c r="D41" s="313" t="s">
        <v>419</v>
      </c>
      <c r="E41" s="200" t="s">
        <v>33</v>
      </c>
      <c r="F41" s="200">
        <v>0.313</v>
      </c>
      <c r="G41" s="200">
        <v>1.3</v>
      </c>
      <c r="H41" s="200">
        <v>0.62</v>
      </c>
      <c r="J41" s="200" t="s">
        <v>444</v>
      </c>
      <c r="K41" s="200"/>
      <c r="L41" s="200" t="s">
        <v>445</v>
      </c>
      <c r="M41" s="306"/>
      <c r="N41" s="306"/>
      <c r="O41" s="306"/>
      <c r="P41" s="306"/>
      <c r="Q41" s="306"/>
      <c r="R41" s="306"/>
      <c r="S41" s="200">
        <v>1.5</v>
      </c>
    </row>
    <row r="42" spans="1:44" ht="15" customHeight="1" x14ac:dyDescent="0.2">
      <c r="A42" s="317" t="s">
        <v>446</v>
      </c>
      <c r="B42" s="318"/>
      <c r="C42" s="319" t="s">
        <v>447</v>
      </c>
      <c r="D42" s="319" t="s">
        <v>419</v>
      </c>
      <c r="E42" s="319" t="s">
        <v>33</v>
      </c>
      <c r="F42" s="319"/>
      <c r="G42" s="319"/>
      <c r="H42" s="319"/>
      <c r="I42" s="319"/>
      <c r="J42" s="319"/>
      <c r="K42" s="319"/>
      <c r="L42" s="319" t="s">
        <v>414</v>
      </c>
      <c r="M42" s="320"/>
      <c r="N42" s="320"/>
      <c r="O42" s="320"/>
      <c r="P42" s="320">
        <v>43753</v>
      </c>
      <c r="Q42" s="320"/>
      <c r="R42" s="320"/>
      <c r="S42" s="319">
        <v>1</v>
      </c>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row>
    <row r="43" spans="1:44" ht="15" customHeight="1" x14ac:dyDescent="0.2">
      <c r="A43" s="317" t="s">
        <v>448</v>
      </c>
      <c r="B43" s="318"/>
      <c r="C43" s="319" t="s">
        <v>403</v>
      </c>
      <c r="D43" s="319" t="s">
        <v>419</v>
      </c>
      <c r="E43" s="319" t="s">
        <v>40</v>
      </c>
      <c r="F43" s="319">
        <v>0.26700000000000002</v>
      </c>
      <c r="G43" s="319">
        <v>1.72</v>
      </c>
      <c r="H43" s="319">
        <v>0.53</v>
      </c>
      <c r="I43" s="319"/>
      <c r="J43" s="319" t="s">
        <v>449</v>
      </c>
      <c r="K43" s="319"/>
      <c r="L43" s="319" t="s">
        <v>450</v>
      </c>
      <c r="M43" s="320"/>
      <c r="N43" s="320"/>
      <c r="O43" s="320"/>
      <c r="P43" s="320"/>
      <c r="Q43" s="320"/>
      <c r="R43" s="320"/>
      <c r="S43" s="319">
        <v>1</v>
      </c>
      <c r="T43" s="319"/>
      <c r="U43" s="319"/>
      <c r="V43" s="319"/>
      <c r="W43" s="319"/>
      <c r="X43" s="319"/>
      <c r="Y43" s="319"/>
      <c r="Z43" s="319"/>
      <c r="AA43" s="319"/>
      <c r="AB43" s="319"/>
      <c r="AC43" s="319"/>
      <c r="AD43" s="319"/>
      <c r="AE43" s="319"/>
      <c r="AF43" s="319"/>
      <c r="AG43" s="319"/>
      <c r="AH43" s="319"/>
      <c r="AI43" s="319"/>
      <c r="AJ43" s="319"/>
      <c r="AK43" s="319"/>
      <c r="AL43" s="319"/>
      <c r="AM43" s="319"/>
      <c r="AN43" s="319"/>
      <c r="AO43" s="319"/>
      <c r="AP43" s="319"/>
      <c r="AQ43" s="319"/>
      <c r="AR43" s="319"/>
    </row>
    <row r="44" spans="1:44" ht="15" customHeight="1" x14ac:dyDescent="0.2">
      <c r="A44" s="317" t="s">
        <v>451</v>
      </c>
      <c r="B44" s="318"/>
      <c r="C44" s="319" t="s">
        <v>416</v>
      </c>
      <c r="D44" s="319" t="s">
        <v>419</v>
      </c>
      <c r="E44" s="319" t="s">
        <v>36</v>
      </c>
      <c r="F44" s="319"/>
      <c r="G44" s="319"/>
      <c r="H44" s="319"/>
      <c r="I44" s="319">
        <v>1</v>
      </c>
      <c r="J44" s="319"/>
      <c r="K44" s="319"/>
      <c r="L44" s="319" t="s">
        <v>417</v>
      </c>
      <c r="M44" s="320"/>
      <c r="N44" s="320"/>
      <c r="O44" s="320"/>
      <c r="P44" s="320"/>
      <c r="Q44" s="320"/>
      <c r="R44" s="320"/>
      <c r="S44" s="319">
        <v>1</v>
      </c>
      <c r="T44" s="319"/>
      <c r="U44" s="319"/>
      <c r="V44" s="319"/>
      <c r="W44" s="319"/>
      <c r="X44" s="319"/>
      <c r="Y44" s="319"/>
      <c r="Z44" s="319"/>
      <c r="AA44" s="319"/>
      <c r="AB44" s="319"/>
      <c r="AC44" s="319"/>
      <c r="AD44" s="319"/>
      <c r="AE44" s="319"/>
      <c r="AF44" s="319"/>
      <c r="AG44" s="319"/>
      <c r="AH44" s="319"/>
      <c r="AI44" s="319"/>
      <c r="AJ44" s="319"/>
      <c r="AK44" s="319"/>
      <c r="AL44" s="319"/>
      <c r="AM44" s="319"/>
      <c r="AN44" s="319"/>
      <c r="AO44" s="319"/>
      <c r="AP44" s="319"/>
      <c r="AQ44" s="319"/>
      <c r="AR44" s="319"/>
    </row>
    <row r="45" spans="1:44" ht="15" customHeight="1" x14ac:dyDescent="0.2">
      <c r="A45" s="307" t="s">
        <v>452</v>
      </c>
      <c r="B45" s="308">
        <v>0</v>
      </c>
      <c r="C45" s="309"/>
      <c r="D45" s="309" t="s">
        <v>393</v>
      </c>
      <c r="E45" s="309" t="s">
        <v>32</v>
      </c>
      <c r="F45" s="309">
        <v>0.33</v>
      </c>
      <c r="G45" s="309">
        <v>1.65</v>
      </c>
      <c r="H45" s="309">
        <v>0.5</v>
      </c>
      <c r="I45" s="309"/>
      <c r="J45" s="309"/>
      <c r="K45" s="309"/>
      <c r="L45" s="309" t="s">
        <v>445</v>
      </c>
      <c r="M45" s="310"/>
      <c r="N45" s="310"/>
      <c r="O45" s="310"/>
      <c r="P45" s="310"/>
      <c r="Q45" s="310"/>
      <c r="R45" s="310"/>
      <c r="S45" s="309">
        <v>1</v>
      </c>
      <c r="T45" s="309"/>
      <c r="U45" s="309"/>
      <c r="V45" s="309"/>
      <c r="W45" s="309"/>
      <c r="X45" s="309"/>
      <c r="Y45" s="309"/>
      <c r="Z45" s="309"/>
      <c r="AA45" s="309"/>
      <c r="AB45" s="309"/>
      <c r="AC45" s="309"/>
      <c r="AD45" s="309"/>
      <c r="AE45" s="309"/>
      <c r="AF45" s="309"/>
      <c r="AG45" s="309"/>
      <c r="AH45" s="309"/>
      <c r="AI45" s="309"/>
      <c r="AJ45" s="309"/>
      <c r="AK45" s="309"/>
      <c r="AL45" s="309"/>
      <c r="AM45" s="309"/>
      <c r="AN45" s="309"/>
      <c r="AO45" s="309"/>
      <c r="AP45" s="309"/>
      <c r="AQ45" s="309"/>
      <c r="AR45" s="309"/>
    </row>
    <row r="46" spans="1:44" ht="15" customHeight="1" x14ac:dyDescent="0.2">
      <c r="A46" s="304" t="s">
        <v>453</v>
      </c>
      <c r="B46" s="326"/>
      <c r="C46" s="181" t="s">
        <v>454</v>
      </c>
      <c r="D46" s="200" t="s">
        <v>393</v>
      </c>
      <c r="E46" s="200" t="s">
        <v>32</v>
      </c>
      <c r="F46" s="200">
        <v>0.32600000000000001</v>
      </c>
      <c r="G46" s="200">
        <v>1.77</v>
      </c>
      <c r="H46" s="200">
        <v>0.62</v>
      </c>
      <c r="I46" s="200">
        <v>1</v>
      </c>
      <c r="J46" s="200"/>
      <c r="K46" s="200"/>
      <c r="L46" s="200" t="s">
        <v>445</v>
      </c>
      <c r="M46" s="306"/>
      <c r="N46" s="306"/>
      <c r="O46" s="306"/>
      <c r="P46" s="306"/>
      <c r="Q46" s="306"/>
      <c r="R46" s="306"/>
      <c r="S46" s="200">
        <v>1</v>
      </c>
    </row>
    <row r="47" spans="1:44" ht="15" customHeight="1" x14ac:dyDescent="0.2">
      <c r="A47" s="317" t="s">
        <v>455</v>
      </c>
      <c r="B47" s="318"/>
      <c r="C47" s="319" t="s">
        <v>447</v>
      </c>
      <c r="D47" s="319" t="s">
        <v>393</v>
      </c>
      <c r="E47" s="319" t="s">
        <v>33</v>
      </c>
      <c r="F47" s="319"/>
      <c r="G47" s="319"/>
      <c r="H47" s="319"/>
      <c r="I47" s="319"/>
      <c r="J47" s="319"/>
      <c r="K47" s="319"/>
      <c r="L47" s="319" t="s">
        <v>414</v>
      </c>
      <c r="M47" s="320"/>
      <c r="N47" s="320"/>
      <c r="O47" s="320"/>
      <c r="P47" s="320"/>
      <c r="Q47" s="320"/>
      <c r="R47" s="320"/>
      <c r="S47" s="319"/>
      <c r="T47" s="319"/>
      <c r="U47" s="319"/>
      <c r="V47" s="319"/>
      <c r="W47" s="319"/>
      <c r="X47" s="319"/>
      <c r="Y47" s="319"/>
      <c r="Z47" s="319"/>
      <c r="AA47" s="319"/>
      <c r="AB47" s="319"/>
      <c r="AC47" s="319"/>
      <c r="AD47" s="319"/>
      <c r="AE47" s="319"/>
      <c r="AF47" s="319"/>
      <c r="AG47" s="319"/>
      <c r="AH47" s="319"/>
      <c r="AI47" s="319"/>
      <c r="AJ47" s="319"/>
      <c r="AK47" s="319"/>
      <c r="AL47" s="319"/>
      <c r="AM47" s="319"/>
      <c r="AN47" s="319"/>
      <c r="AO47" s="319"/>
      <c r="AP47" s="319"/>
      <c r="AQ47" s="319"/>
      <c r="AR47" s="319"/>
    </row>
    <row r="48" spans="1:44" ht="15" customHeight="1" x14ac:dyDescent="0.2">
      <c r="A48" s="317" t="s">
        <v>456</v>
      </c>
      <c r="B48" s="318"/>
      <c r="C48" s="319" t="s">
        <v>457</v>
      </c>
      <c r="D48" s="319" t="s">
        <v>393</v>
      </c>
      <c r="E48" s="319" t="s">
        <v>34</v>
      </c>
      <c r="F48" s="319"/>
      <c r="G48" s="319"/>
      <c r="H48" s="319"/>
      <c r="I48" s="319"/>
      <c r="J48" s="319"/>
      <c r="K48" s="319"/>
      <c r="L48" s="319" t="s">
        <v>450</v>
      </c>
      <c r="M48" s="320"/>
      <c r="N48" s="320"/>
      <c r="O48" s="320"/>
      <c r="P48" s="320"/>
      <c r="Q48" s="320"/>
      <c r="R48" s="320"/>
      <c r="S48" s="319"/>
      <c r="T48" s="319"/>
      <c r="U48" s="319"/>
      <c r="V48" s="319"/>
      <c r="W48" s="319"/>
      <c r="X48" s="319"/>
      <c r="Y48" s="319"/>
      <c r="Z48" s="319"/>
      <c r="AA48" s="319"/>
      <c r="AB48" s="319"/>
      <c r="AC48" s="319"/>
      <c r="AD48" s="319"/>
      <c r="AF48" s="319"/>
      <c r="AG48" s="319"/>
      <c r="AH48" s="319"/>
      <c r="AI48" s="319"/>
      <c r="AJ48" s="319"/>
      <c r="AK48" s="319"/>
      <c r="AL48" s="319"/>
      <c r="AM48" s="319"/>
      <c r="AN48" s="319"/>
      <c r="AO48" s="319"/>
      <c r="AP48" s="319"/>
      <c r="AQ48" s="319"/>
      <c r="AR48" s="319"/>
    </row>
    <row r="49" spans="1:44" ht="15" customHeight="1" x14ac:dyDescent="0.2">
      <c r="A49" s="304" t="s">
        <v>458</v>
      </c>
      <c r="B49" s="305"/>
      <c r="C49" s="200" t="s">
        <v>366</v>
      </c>
      <c r="D49" s="313" t="s">
        <v>459</v>
      </c>
      <c r="E49" s="200" t="s">
        <v>424</v>
      </c>
      <c r="F49" s="200">
        <v>0.433</v>
      </c>
      <c r="G49" s="200">
        <v>1.59</v>
      </c>
      <c r="H49" s="200">
        <v>0.81</v>
      </c>
      <c r="J49" s="200" t="s">
        <v>460</v>
      </c>
      <c r="K49" s="200"/>
      <c r="L49" s="200" t="s">
        <v>425</v>
      </c>
      <c r="M49" s="306"/>
      <c r="N49" s="306"/>
      <c r="O49" s="306"/>
      <c r="P49" s="306"/>
      <c r="Q49" s="306"/>
      <c r="R49" s="306"/>
    </row>
    <row r="50" spans="1:44" ht="15" customHeight="1" x14ac:dyDescent="0.2">
      <c r="A50" s="304" t="s">
        <v>461</v>
      </c>
      <c r="B50" s="305"/>
      <c r="C50" s="200" t="s">
        <v>366</v>
      </c>
      <c r="D50" s="313" t="s">
        <v>459</v>
      </c>
      <c r="E50" s="200" t="s">
        <v>28</v>
      </c>
      <c r="F50" s="200">
        <v>0.38500000000000001</v>
      </c>
      <c r="G50" s="200">
        <v>1.63</v>
      </c>
      <c r="H50" s="200">
        <v>0.64</v>
      </c>
      <c r="J50" s="200" t="s">
        <v>430</v>
      </c>
      <c r="K50" s="200"/>
      <c r="L50" s="200" t="s">
        <v>431</v>
      </c>
      <c r="M50" s="306"/>
      <c r="N50" s="306"/>
      <c r="O50" s="306"/>
      <c r="P50" s="306"/>
      <c r="Q50" s="306"/>
      <c r="R50" s="306"/>
    </row>
    <row r="51" spans="1:44" ht="15" customHeight="1" x14ac:dyDescent="0.2">
      <c r="A51" s="307" t="s">
        <v>462</v>
      </c>
      <c r="B51" s="308">
        <v>20</v>
      </c>
      <c r="C51" s="309"/>
      <c r="D51" s="309" t="s">
        <v>459</v>
      </c>
      <c r="E51" s="309" t="s">
        <v>30</v>
      </c>
      <c r="F51" s="309">
        <v>0.38</v>
      </c>
      <c r="G51" s="309">
        <v>1.73</v>
      </c>
      <c r="H51" s="309">
        <v>0.65</v>
      </c>
      <c r="I51" s="309"/>
      <c r="J51" s="309" t="s">
        <v>436</v>
      </c>
      <c r="K51" s="309"/>
      <c r="L51" s="309" t="s">
        <v>437</v>
      </c>
      <c r="M51" s="310"/>
      <c r="N51" s="310"/>
      <c r="O51" s="310"/>
      <c r="P51" s="310"/>
      <c r="Q51" s="310"/>
      <c r="R51" s="310"/>
      <c r="S51" s="309"/>
      <c r="T51" s="309"/>
      <c r="U51" s="309"/>
      <c r="V51" s="309"/>
      <c r="W51" s="309"/>
      <c r="X51" s="309"/>
      <c r="Y51" s="309"/>
      <c r="Z51" s="309"/>
      <c r="AA51" s="309"/>
      <c r="AB51" s="309"/>
      <c r="AC51" s="309"/>
      <c r="AD51" s="309"/>
      <c r="AE51" s="309"/>
      <c r="AF51" s="309"/>
      <c r="AG51" s="309"/>
      <c r="AH51" s="309"/>
      <c r="AI51" s="309"/>
      <c r="AJ51" s="309"/>
      <c r="AK51" s="309"/>
      <c r="AL51" s="309"/>
      <c r="AM51" s="309"/>
      <c r="AN51" s="309"/>
      <c r="AO51" s="309"/>
      <c r="AP51" s="309"/>
      <c r="AQ51" s="309"/>
      <c r="AR51" s="309"/>
    </row>
    <row r="52" spans="1:44" ht="15" customHeight="1" x14ac:dyDescent="0.2">
      <c r="A52" s="317" t="s">
        <v>463</v>
      </c>
      <c r="B52" s="318"/>
      <c r="C52" s="319" t="s">
        <v>416</v>
      </c>
      <c r="D52" s="319" t="s">
        <v>464</v>
      </c>
      <c r="E52" s="319" t="s">
        <v>24</v>
      </c>
      <c r="F52" s="319">
        <v>0.46300000000000002</v>
      </c>
      <c r="G52" s="319">
        <v>1.48</v>
      </c>
      <c r="H52" s="319">
        <v>0.8</v>
      </c>
      <c r="I52" s="319">
        <v>1</v>
      </c>
      <c r="J52" s="319"/>
      <c r="K52" s="319"/>
      <c r="L52" s="319"/>
      <c r="M52" s="320"/>
      <c r="N52" s="320"/>
      <c r="O52" s="320"/>
      <c r="P52" s="320"/>
      <c r="Q52" s="320"/>
      <c r="R52" s="320"/>
      <c r="S52" s="319"/>
      <c r="T52" s="319"/>
      <c r="U52" s="319"/>
      <c r="V52" s="319"/>
      <c r="W52" s="319"/>
      <c r="X52" s="319"/>
      <c r="Y52" s="319"/>
      <c r="Z52" s="319"/>
      <c r="AA52" s="319"/>
      <c r="AB52" s="319"/>
      <c r="AC52" s="319"/>
      <c r="AD52" s="319"/>
      <c r="AE52" s="319"/>
      <c r="AF52" s="319"/>
      <c r="AG52" s="319"/>
      <c r="AH52" s="319"/>
      <c r="AI52" s="319"/>
      <c r="AJ52" s="319"/>
      <c r="AK52" s="319"/>
      <c r="AL52" s="319"/>
      <c r="AM52" s="319"/>
      <c r="AN52" s="319"/>
      <c r="AO52" s="319"/>
      <c r="AP52" s="319"/>
      <c r="AQ52" s="319"/>
      <c r="AR52" s="319"/>
    </row>
    <row r="53" spans="1:44" ht="15" customHeight="1" x14ac:dyDescent="0.2">
      <c r="A53" s="304" t="s">
        <v>465</v>
      </c>
      <c r="B53" s="305"/>
      <c r="D53" s="200" t="s">
        <v>464</v>
      </c>
      <c r="E53" s="200" t="s">
        <v>254</v>
      </c>
      <c r="F53" s="200">
        <v>0.45300000000000001</v>
      </c>
      <c r="G53" s="200">
        <v>1.39</v>
      </c>
      <c r="H53" s="200">
        <v>0.76</v>
      </c>
      <c r="I53" s="200">
        <v>1</v>
      </c>
      <c r="M53" s="306"/>
      <c r="N53" s="306"/>
      <c r="O53" s="306"/>
      <c r="P53" s="306"/>
      <c r="Q53" s="306"/>
      <c r="R53" s="306"/>
    </row>
    <row r="54" spans="1:44" ht="15" customHeight="1" x14ac:dyDescent="0.2">
      <c r="A54" s="307" t="s">
        <v>466</v>
      </c>
      <c r="B54" s="308">
        <v>46.65</v>
      </c>
      <c r="C54" s="309"/>
      <c r="D54" s="309" t="s">
        <v>464</v>
      </c>
      <c r="E54" s="309" t="s">
        <v>11</v>
      </c>
      <c r="F54" s="309">
        <v>0.45100000000000001</v>
      </c>
      <c r="G54" s="309">
        <v>1.5</v>
      </c>
      <c r="H54" s="309">
        <v>0.7</v>
      </c>
      <c r="I54" s="309"/>
      <c r="J54" s="309" t="s">
        <v>421</v>
      </c>
      <c r="K54" s="309"/>
      <c r="L54" s="309" t="s">
        <v>422</v>
      </c>
      <c r="M54" s="310"/>
      <c r="N54" s="310"/>
      <c r="O54" s="310"/>
      <c r="P54" s="310"/>
      <c r="Q54" s="310"/>
      <c r="R54" s="310"/>
      <c r="S54" s="309"/>
      <c r="T54" s="309"/>
      <c r="U54" s="309"/>
      <c r="V54" s="309"/>
      <c r="W54" s="309"/>
      <c r="X54" s="309"/>
      <c r="Y54" s="309"/>
      <c r="Z54" s="309"/>
      <c r="AA54" s="309"/>
      <c r="AB54" s="309"/>
      <c r="AC54" s="309"/>
      <c r="AD54" s="309"/>
      <c r="AE54" s="309"/>
      <c r="AF54" s="309"/>
      <c r="AG54" s="309"/>
      <c r="AH54" s="309"/>
      <c r="AI54" s="309"/>
      <c r="AJ54" s="309"/>
      <c r="AK54" s="309"/>
      <c r="AL54" s="309"/>
      <c r="AM54" s="309"/>
      <c r="AN54" s="309"/>
      <c r="AO54" s="309"/>
      <c r="AP54" s="309"/>
      <c r="AQ54" s="309"/>
      <c r="AR54" s="309"/>
    </row>
    <row r="55" spans="1:44" ht="15" customHeight="1" x14ac:dyDescent="0.2">
      <c r="A55" s="304" t="s">
        <v>467</v>
      </c>
      <c r="B55" s="305"/>
      <c r="C55" s="200" t="s">
        <v>366</v>
      </c>
      <c r="D55" s="313" t="s">
        <v>464</v>
      </c>
      <c r="E55" s="200" t="s">
        <v>424</v>
      </c>
      <c r="F55" s="200">
        <v>0.44</v>
      </c>
      <c r="G55" s="200">
        <v>1.57</v>
      </c>
      <c r="H55" s="200">
        <v>0.82</v>
      </c>
      <c r="J55" s="200" t="s">
        <v>460</v>
      </c>
      <c r="K55" s="200"/>
      <c r="L55" s="200" t="s">
        <v>425</v>
      </c>
      <c r="M55" s="306"/>
      <c r="N55" s="306"/>
      <c r="O55" s="306"/>
      <c r="P55" s="306"/>
      <c r="Q55" s="306"/>
      <c r="R55" s="306"/>
    </row>
    <row r="56" spans="1:44" ht="15" customHeight="1" x14ac:dyDescent="0.2">
      <c r="A56" s="307" t="s">
        <v>468</v>
      </c>
      <c r="B56" s="308">
        <v>60</v>
      </c>
      <c r="C56" s="309"/>
      <c r="D56" s="309" t="s">
        <v>464</v>
      </c>
      <c r="E56" s="309" t="s">
        <v>28</v>
      </c>
      <c r="F56" s="309">
        <v>0.38200000000000001</v>
      </c>
      <c r="G56" s="309">
        <v>1.81</v>
      </c>
      <c r="H56" s="309">
        <v>0.65</v>
      </c>
      <c r="I56" s="309"/>
      <c r="J56" s="309"/>
      <c r="K56" s="309"/>
      <c r="L56" s="309" t="s">
        <v>431</v>
      </c>
      <c r="M56" s="310"/>
      <c r="N56" s="310"/>
      <c r="O56" s="310"/>
      <c r="P56" s="310"/>
      <c r="Q56" s="310"/>
      <c r="R56" s="310"/>
      <c r="S56" s="309"/>
      <c r="T56" s="309"/>
      <c r="U56" s="309"/>
      <c r="V56" s="309"/>
      <c r="W56" s="309"/>
      <c r="X56" s="309"/>
      <c r="Y56" s="309"/>
      <c r="Z56" s="309"/>
      <c r="AA56" s="309"/>
      <c r="AB56" s="309"/>
      <c r="AC56" s="309"/>
      <c r="AD56" s="309"/>
      <c r="AE56" s="309"/>
      <c r="AF56" s="309"/>
      <c r="AG56" s="309"/>
      <c r="AH56" s="309"/>
      <c r="AI56" s="309"/>
      <c r="AJ56" s="309"/>
      <c r="AK56" s="309"/>
      <c r="AL56" s="309"/>
      <c r="AM56" s="309"/>
      <c r="AN56" s="309"/>
      <c r="AO56" s="309"/>
      <c r="AP56" s="309"/>
      <c r="AQ56" s="309"/>
      <c r="AR56" s="309"/>
    </row>
    <row r="57" spans="1:44" ht="15" customHeight="1" x14ac:dyDescent="0.2">
      <c r="A57" s="307" t="s">
        <v>469</v>
      </c>
      <c r="B57" s="308">
        <v>0</v>
      </c>
      <c r="C57" s="309"/>
      <c r="D57" s="309" t="s">
        <v>464</v>
      </c>
      <c r="E57" s="309" t="s">
        <v>29</v>
      </c>
      <c r="F57" s="309">
        <v>0.378</v>
      </c>
      <c r="G57" s="309">
        <v>1.71</v>
      </c>
      <c r="H57" s="309">
        <v>0.625</v>
      </c>
      <c r="I57" s="309"/>
      <c r="J57" s="309" t="s">
        <v>470</v>
      </c>
      <c r="K57" s="309"/>
      <c r="L57" s="309" t="s">
        <v>434</v>
      </c>
      <c r="M57" s="310"/>
      <c r="N57" s="310"/>
      <c r="O57" s="310"/>
      <c r="P57" s="310"/>
      <c r="Q57" s="310"/>
      <c r="R57" s="310"/>
      <c r="S57" s="309"/>
      <c r="T57" s="309"/>
      <c r="U57" s="309"/>
      <c r="V57" s="309"/>
      <c r="W57" s="309"/>
      <c r="X57" s="309"/>
      <c r="Y57" s="309"/>
      <c r="Z57" s="309"/>
      <c r="AA57" s="309"/>
      <c r="AB57" s="309"/>
      <c r="AC57" s="309"/>
      <c r="AD57" s="309"/>
      <c r="AE57" s="309"/>
      <c r="AF57" s="309"/>
      <c r="AG57" s="309"/>
      <c r="AH57" s="309"/>
      <c r="AI57" s="309"/>
      <c r="AJ57" s="309"/>
      <c r="AK57" s="309"/>
      <c r="AL57" s="309"/>
      <c r="AM57" s="309"/>
      <c r="AN57" s="309"/>
      <c r="AO57" s="309"/>
      <c r="AP57" s="309"/>
      <c r="AQ57" s="309"/>
      <c r="AR57" s="309"/>
    </row>
    <row r="58" spans="1:44" ht="15" customHeight="1" x14ac:dyDescent="0.2">
      <c r="A58" s="307" t="s">
        <v>471</v>
      </c>
      <c r="B58" s="308">
        <v>0</v>
      </c>
      <c r="C58" s="309"/>
      <c r="D58" s="309" t="s">
        <v>464</v>
      </c>
      <c r="E58" s="309" t="s">
        <v>30</v>
      </c>
      <c r="F58" s="309">
        <v>0.39800000000000002</v>
      </c>
      <c r="G58" s="309">
        <v>1.83</v>
      </c>
      <c r="H58" s="309">
        <v>0.67</v>
      </c>
      <c r="I58" s="309"/>
      <c r="J58" s="309" t="s">
        <v>436</v>
      </c>
      <c r="K58" s="309"/>
      <c r="L58" s="309" t="s">
        <v>437</v>
      </c>
      <c r="M58" s="310"/>
      <c r="N58" s="310"/>
      <c r="O58" s="310"/>
      <c r="P58" s="310"/>
      <c r="Q58" s="310"/>
      <c r="R58" s="310"/>
      <c r="S58" s="309"/>
      <c r="T58" s="309"/>
      <c r="U58" s="309"/>
      <c r="V58" s="309"/>
      <c r="W58" s="309"/>
      <c r="X58" s="309"/>
      <c r="Y58" s="309"/>
      <c r="Z58" s="309"/>
      <c r="AA58" s="309"/>
      <c r="AB58" s="309"/>
      <c r="AC58" s="309"/>
      <c r="AD58" s="309"/>
      <c r="AE58" s="309"/>
      <c r="AF58" s="309"/>
      <c r="AG58" s="309"/>
      <c r="AH58" s="309"/>
      <c r="AI58" s="309"/>
      <c r="AJ58" s="309"/>
      <c r="AK58" s="309"/>
      <c r="AL58" s="309"/>
      <c r="AM58" s="309"/>
      <c r="AN58" s="309"/>
      <c r="AO58" s="309"/>
      <c r="AP58" s="309"/>
      <c r="AQ58" s="309"/>
      <c r="AR58" s="309"/>
    </row>
    <row r="59" spans="1:44" ht="15" customHeight="1" x14ac:dyDescent="0.2">
      <c r="A59" s="307" t="s">
        <v>472</v>
      </c>
      <c r="B59" s="308">
        <v>0</v>
      </c>
      <c r="C59" s="309"/>
      <c r="D59" s="309" t="s">
        <v>464</v>
      </c>
      <c r="E59" s="309" t="s">
        <v>31</v>
      </c>
      <c r="F59" s="309">
        <v>0.30499999999999999</v>
      </c>
      <c r="G59" s="309">
        <v>1.97</v>
      </c>
      <c r="H59" s="309">
        <v>0.57999999999999996</v>
      </c>
      <c r="I59" s="309"/>
      <c r="J59" s="309" t="s">
        <v>473</v>
      </c>
      <c r="K59" s="309"/>
      <c r="L59" s="309" t="s">
        <v>439</v>
      </c>
      <c r="M59" s="310"/>
      <c r="N59" s="310"/>
      <c r="O59" s="310"/>
      <c r="P59" s="310"/>
      <c r="Q59" s="310"/>
      <c r="R59" s="310"/>
      <c r="S59" s="309"/>
      <c r="T59" s="309"/>
      <c r="U59" s="309"/>
      <c r="V59" s="309"/>
      <c r="W59" s="309"/>
      <c r="X59" s="309"/>
      <c r="Y59" s="309"/>
      <c r="Z59" s="309"/>
      <c r="AA59" s="309"/>
      <c r="AB59" s="309"/>
      <c r="AC59" s="309"/>
      <c r="AD59" s="309"/>
      <c r="AE59" s="309"/>
      <c r="AF59" s="309"/>
      <c r="AG59" s="309"/>
      <c r="AH59" s="309"/>
      <c r="AI59" s="309"/>
      <c r="AJ59" s="309"/>
      <c r="AK59" s="309"/>
      <c r="AL59" s="309"/>
      <c r="AM59" s="309"/>
      <c r="AN59" s="309"/>
      <c r="AO59" s="309"/>
      <c r="AP59" s="309"/>
      <c r="AQ59" s="309"/>
      <c r="AR59" s="309"/>
    </row>
    <row r="60" spans="1:44" ht="15" customHeight="1" x14ac:dyDescent="0.2">
      <c r="A60" s="307" t="s">
        <v>474</v>
      </c>
      <c r="B60" s="308">
        <v>60</v>
      </c>
      <c r="C60" s="309"/>
      <c r="D60" s="309" t="s">
        <v>464</v>
      </c>
      <c r="E60" s="309" t="s">
        <v>32</v>
      </c>
      <c r="F60" s="309">
        <v>0.32300000000000001</v>
      </c>
      <c r="G60" s="309">
        <v>1.78</v>
      </c>
      <c r="H60" s="309">
        <v>0.65</v>
      </c>
      <c r="I60" s="309"/>
      <c r="J60" s="309" t="s">
        <v>475</v>
      </c>
      <c r="K60" s="309"/>
      <c r="L60" s="309" t="s">
        <v>442</v>
      </c>
      <c r="M60" s="310"/>
      <c r="N60" s="310"/>
      <c r="O60" s="310"/>
      <c r="P60" s="310"/>
      <c r="Q60" s="310"/>
      <c r="R60" s="310"/>
      <c r="S60" s="309"/>
      <c r="T60" s="309"/>
      <c r="U60" s="309"/>
      <c r="V60" s="309"/>
      <c r="W60" s="309"/>
      <c r="X60" s="309"/>
      <c r="Y60" s="309"/>
      <c r="Z60" s="309"/>
      <c r="AA60" s="309"/>
      <c r="AB60" s="309"/>
      <c r="AC60" s="309"/>
      <c r="AD60" s="309"/>
      <c r="AE60" s="309"/>
      <c r="AF60" s="309"/>
      <c r="AG60" s="309"/>
      <c r="AH60" s="309"/>
      <c r="AI60" s="309"/>
      <c r="AJ60" s="309"/>
      <c r="AK60" s="309"/>
      <c r="AL60" s="309"/>
      <c r="AM60" s="309"/>
      <c r="AN60" s="309"/>
      <c r="AO60" s="309"/>
      <c r="AP60" s="309"/>
      <c r="AQ60" s="309"/>
      <c r="AR60" s="309"/>
    </row>
    <row r="61" spans="1:44" ht="15" customHeight="1" x14ac:dyDescent="0.2">
      <c r="A61" s="307" t="s">
        <v>476</v>
      </c>
      <c r="B61" s="308">
        <v>0</v>
      </c>
      <c r="C61" s="309"/>
      <c r="D61" s="309" t="s">
        <v>464</v>
      </c>
      <c r="E61" s="309" t="s">
        <v>33</v>
      </c>
      <c r="F61" s="309">
        <v>0.318</v>
      </c>
      <c r="G61" s="309">
        <v>1.42</v>
      </c>
      <c r="H61" s="309">
        <v>0.59</v>
      </c>
      <c r="I61" s="309"/>
      <c r="J61" s="309" t="s">
        <v>444</v>
      </c>
      <c r="K61" s="309"/>
      <c r="L61" s="309" t="s">
        <v>445</v>
      </c>
      <c r="M61" s="310"/>
      <c r="N61" s="310"/>
      <c r="O61" s="310"/>
      <c r="P61" s="310"/>
      <c r="Q61" s="310"/>
      <c r="R61" s="310"/>
      <c r="S61" s="309"/>
      <c r="T61" s="309"/>
      <c r="U61" s="309"/>
      <c r="V61" s="309"/>
      <c r="W61" s="309"/>
      <c r="X61" s="309"/>
      <c r="Y61" s="309"/>
      <c r="Z61" s="309"/>
      <c r="AA61" s="309"/>
      <c r="AB61" s="309"/>
      <c r="AC61" s="309"/>
      <c r="AD61" s="309"/>
      <c r="AE61" s="309"/>
      <c r="AF61" s="309"/>
      <c r="AG61" s="309"/>
      <c r="AH61" s="309"/>
      <c r="AI61" s="309"/>
      <c r="AJ61" s="309"/>
      <c r="AK61" s="309"/>
      <c r="AL61" s="309"/>
      <c r="AM61" s="309"/>
      <c r="AN61" s="309"/>
      <c r="AO61" s="309"/>
      <c r="AP61" s="309"/>
      <c r="AQ61" s="309"/>
      <c r="AR61" s="309"/>
    </row>
    <row r="62" spans="1:44" ht="15" customHeight="1" x14ac:dyDescent="0.2">
      <c r="A62" s="317" t="s">
        <v>477</v>
      </c>
      <c r="B62" s="318"/>
      <c r="C62" s="319" t="s">
        <v>403</v>
      </c>
      <c r="D62" s="319" t="s">
        <v>464</v>
      </c>
      <c r="E62" s="319" t="s">
        <v>34</v>
      </c>
      <c r="F62" s="319">
        <v>0.32500000000000001</v>
      </c>
      <c r="G62" s="319">
        <v>1.62</v>
      </c>
      <c r="H62" s="319">
        <v>0.65300000000000002</v>
      </c>
      <c r="I62" s="319">
        <v>1</v>
      </c>
      <c r="J62" s="319" t="s">
        <v>413</v>
      </c>
      <c r="K62" s="319"/>
      <c r="L62" s="319" t="s">
        <v>414</v>
      </c>
      <c r="M62" s="320"/>
      <c r="N62" s="320"/>
      <c r="O62" s="320"/>
      <c r="P62" s="320"/>
      <c r="Q62" s="320"/>
      <c r="R62" s="320"/>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row>
    <row r="63" spans="1:44" ht="15" customHeight="1" x14ac:dyDescent="0.2">
      <c r="A63" s="304" t="s">
        <v>478</v>
      </c>
      <c r="B63" s="305"/>
      <c r="C63" s="200" t="s">
        <v>366</v>
      </c>
      <c r="D63" s="313" t="s">
        <v>464</v>
      </c>
      <c r="E63" s="200" t="s">
        <v>36</v>
      </c>
      <c r="F63" s="200">
        <v>0.252</v>
      </c>
      <c r="G63" s="200">
        <v>1.62</v>
      </c>
      <c r="H63" s="200">
        <v>0.45</v>
      </c>
      <c r="J63" s="200" t="s">
        <v>479</v>
      </c>
      <c r="K63" s="200"/>
      <c r="L63" s="200" t="s">
        <v>480</v>
      </c>
      <c r="M63" s="306"/>
      <c r="N63" s="306"/>
      <c r="O63" s="306"/>
      <c r="P63" s="306">
        <v>43753</v>
      </c>
      <c r="Q63" s="306"/>
      <c r="R63" s="306"/>
    </row>
    <row r="64" spans="1:44" ht="15" customHeight="1" x14ac:dyDescent="0.2">
      <c r="A64" s="317" t="s">
        <v>481</v>
      </c>
      <c r="B64" s="318"/>
      <c r="C64" s="319" t="s">
        <v>416</v>
      </c>
      <c r="D64" s="319" t="s">
        <v>464</v>
      </c>
      <c r="E64" s="319" t="s">
        <v>36</v>
      </c>
      <c r="F64" s="319"/>
      <c r="G64" s="319"/>
      <c r="H64" s="319"/>
      <c r="I64" s="319">
        <v>1</v>
      </c>
      <c r="J64" s="319"/>
      <c r="K64" s="319"/>
      <c r="L64" s="319" t="s">
        <v>417</v>
      </c>
      <c r="M64" s="320"/>
      <c r="N64" s="320"/>
      <c r="O64" s="320"/>
      <c r="P64" s="320"/>
      <c r="Q64" s="320"/>
      <c r="R64" s="320"/>
      <c r="S64" s="319">
        <v>1.5</v>
      </c>
      <c r="T64" s="319">
        <v>0.75</v>
      </c>
      <c r="U64" s="319">
        <v>24</v>
      </c>
      <c r="V64" s="321">
        <v>43654</v>
      </c>
      <c r="W64" s="319">
        <v>2</v>
      </c>
      <c r="X64" s="319">
        <v>4</v>
      </c>
      <c r="Y64" s="321">
        <v>43528</v>
      </c>
      <c r="Z64" s="319" t="s">
        <v>482</v>
      </c>
      <c r="AA64" s="319"/>
      <c r="AB64" s="319"/>
      <c r="AC64" s="319"/>
      <c r="AD64" s="319"/>
      <c r="AE64" s="319"/>
      <c r="AF64" s="319"/>
      <c r="AG64" s="319"/>
      <c r="AH64" s="319"/>
      <c r="AI64" s="319"/>
      <c r="AJ64" s="319"/>
      <c r="AK64" s="319"/>
      <c r="AL64" s="319"/>
      <c r="AM64" s="319"/>
      <c r="AN64" s="319"/>
      <c r="AO64" s="319"/>
      <c r="AP64" s="319"/>
      <c r="AQ64" s="319"/>
      <c r="AR64" s="319"/>
    </row>
    <row r="65" spans="1:44" ht="15" customHeight="1" x14ac:dyDescent="0.2">
      <c r="A65" s="317" t="s">
        <v>483</v>
      </c>
      <c r="B65" s="318"/>
      <c r="C65" s="319" t="s">
        <v>484</v>
      </c>
      <c r="D65" s="319" t="s">
        <v>464</v>
      </c>
      <c r="E65" s="319" t="s">
        <v>37</v>
      </c>
      <c r="F65" s="319"/>
      <c r="G65" s="319"/>
      <c r="H65" s="319"/>
      <c r="I65" s="319">
        <v>1</v>
      </c>
      <c r="J65" s="319"/>
      <c r="K65" s="319"/>
      <c r="L65" s="319"/>
      <c r="M65" s="320"/>
      <c r="N65" s="320"/>
      <c r="O65" s="320"/>
      <c r="P65" s="320"/>
      <c r="Q65" s="320"/>
      <c r="R65" s="320"/>
      <c r="S65" s="319">
        <v>1.5</v>
      </c>
      <c r="T65" s="319">
        <v>0.75</v>
      </c>
      <c r="U65" s="319">
        <v>24</v>
      </c>
      <c r="V65" s="321">
        <v>43654</v>
      </c>
      <c r="W65" s="319">
        <v>2</v>
      </c>
      <c r="X65" s="319">
        <v>4</v>
      </c>
      <c r="Y65" s="321">
        <v>43528</v>
      </c>
      <c r="Z65" s="319" t="s">
        <v>482</v>
      </c>
      <c r="AA65" s="319"/>
      <c r="AB65" s="319"/>
      <c r="AC65" s="319"/>
      <c r="AD65" s="319"/>
      <c r="AE65" s="319"/>
      <c r="AF65" s="319"/>
      <c r="AG65" s="319"/>
      <c r="AH65" s="319"/>
      <c r="AI65" s="319"/>
      <c r="AJ65" s="319"/>
      <c r="AK65" s="319"/>
      <c r="AL65" s="319"/>
      <c r="AM65" s="319"/>
      <c r="AN65" s="319"/>
      <c r="AO65" s="319"/>
      <c r="AP65" s="319"/>
      <c r="AQ65" s="319"/>
      <c r="AR65" s="319"/>
    </row>
    <row r="66" spans="1:44" ht="12.75" x14ac:dyDescent="0.2">
      <c r="A66" s="317" t="s">
        <v>485</v>
      </c>
      <c r="B66" s="318"/>
      <c r="C66" s="319" t="s">
        <v>484</v>
      </c>
      <c r="D66" s="319" t="s">
        <v>464</v>
      </c>
      <c r="E66" s="319" t="s">
        <v>41</v>
      </c>
      <c r="F66" s="319"/>
      <c r="G66" s="319"/>
      <c r="H66" s="319"/>
      <c r="I66" s="319">
        <v>1</v>
      </c>
      <c r="J66" s="319"/>
      <c r="K66" s="319"/>
      <c r="L66" s="319"/>
      <c r="M66" s="320"/>
      <c r="N66" s="320"/>
      <c r="O66" s="320"/>
      <c r="P66" s="320"/>
      <c r="Q66" s="320"/>
      <c r="R66" s="320"/>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row>
    <row r="67" spans="1:44" ht="12.75" x14ac:dyDescent="0.2">
      <c r="A67" s="317" t="s">
        <v>486</v>
      </c>
      <c r="B67" s="318"/>
      <c r="C67" s="319" t="s">
        <v>484</v>
      </c>
      <c r="D67" s="319" t="s">
        <v>464</v>
      </c>
      <c r="E67" s="319" t="s">
        <v>42</v>
      </c>
      <c r="F67" s="319"/>
      <c r="G67" s="319"/>
      <c r="H67" s="319"/>
      <c r="I67" s="319">
        <v>1</v>
      </c>
      <c r="J67" s="319"/>
      <c r="K67" s="319"/>
      <c r="L67" s="319"/>
      <c r="M67" s="320"/>
      <c r="N67" s="320"/>
      <c r="O67" s="320"/>
      <c r="P67" s="320"/>
      <c r="Q67" s="320"/>
      <c r="R67" s="320"/>
      <c r="S67" s="319"/>
      <c r="T67" s="319"/>
      <c r="U67" s="319"/>
      <c r="V67" s="319"/>
      <c r="W67" s="319"/>
      <c r="X67" s="319"/>
      <c r="Y67" s="319"/>
      <c r="Z67" s="319"/>
      <c r="AA67" s="319"/>
      <c r="AB67" s="319"/>
      <c r="AC67" s="319"/>
      <c r="AD67" s="319"/>
      <c r="AE67" s="319"/>
      <c r="AF67" s="319"/>
      <c r="AG67" s="319"/>
      <c r="AH67" s="319"/>
      <c r="AI67" s="319"/>
      <c r="AJ67" s="319"/>
      <c r="AK67" s="319"/>
      <c r="AL67" s="319"/>
      <c r="AM67" s="319"/>
      <c r="AN67" s="319"/>
      <c r="AO67" s="319"/>
      <c r="AP67" s="319"/>
      <c r="AQ67" s="319"/>
      <c r="AR67" s="319"/>
    </row>
    <row r="68" spans="1:44" ht="12.75" x14ac:dyDescent="0.2">
      <c r="A68" s="317" t="s">
        <v>487</v>
      </c>
      <c r="B68" s="318"/>
      <c r="C68" s="319" t="s">
        <v>484</v>
      </c>
      <c r="D68" s="319" t="s">
        <v>488</v>
      </c>
      <c r="E68" s="319" t="s">
        <v>42</v>
      </c>
      <c r="F68" s="319"/>
      <c r="G68" s="319"/>
      <c r="H68" s="319"/>
      <c r="I68" s="319">
        <v>1</v>
      </c>
      <c r="J68" s="319"/>
      <c r="K68" s="319"/>
      <c r="L68" s="319"/>
      <c r="M68" s="320"/>
      <c r="N68" s="320"/>
      <c r="O68" s="320"/>
      <c r="P68" s="320"/>
      <c r="Q68" s="320"/>
      <c r="R68" s="320"/>
      <c r="S68" s="319"/>
      <c r="T68" s="319"/>
      <c r="U68" s="319"/>
      <c r="V68" s="319"/>
      <c r="W68" s="319"/>
      <c r="X68" s="319"/>
      <c r="Y68" s="319"/>
      <c r="Z68" s="319"/>
      <c r="AA68" s="319"/>
      <c r="AB68" s="319"/>
      <c r="AC68" s="319"/>
      <c r="AD68" s="319"/>
      <c r="AE68" s="319"/>
      <c r="AF68" s="319"/>
      <c r="AG68" s="319"/>
      <c r="AH68" s="319"/>
      <c r="AI68" s="319"/>
      <c r="AJ68" s="319"/>
      <c r="AK68" s="319"/>
      <c r="AL68" s="319"/>
      <c r="AM68" s="319"/>
      <c r="AN68" s="319"/>
      <c r="AO68" s="319"/>
      <c r="AP68" s="319"/>
      <c r="AQ68" s="319"/>
      <c r="AR68" s="319"/>
    </row>
    <row r="69" spans="1:44" ht="12.75" x14ac:dyDescent="0.2">
      <c r="A69" s="307" t="s">
        <v>489</v>
      </c>
      <c r="B69" s="308">
        <v>0</v>
      </c>
      <c r="C69" s="309"/>
      <c r="D69" s="309" t="s">
        <v>490</v>
      </c>
      <c r="E69" s="309" t="s">
        <v>424</v>
      </c>
      <c r="F69" s="309">
        <v>0.44</v>
      </c>
      <c r="G69" s="309">
        <v>1.65</v>
      </c>
      <c r="H69" s="309">
        <v>0.73</v>
      </c>
      <c r="I69" s="309"/>
      <c r="J69" s="309" t="s">
        <v>460</v>
      </c>
      <c r="K69" s="309"/>
      <c r="L69" s="309" t="s">
        <v>425</v>
      </c>
      <c r="M69" s="310"/>
      <c r="N69" s="310"/>
      <c r="O69" s="310"/>
      <c r="P69" s="310"/>
      <c r="Q69" s="310"/>
      <c r="R69" s="310"/>
      <c r="S69" s="309"/>
      <c r="T69" s="309"/>
      <c r="U69" s="309"/>
      <c r="V69" s="309"/>
      <c r="W69" s="309"/>
      <c r="X69" s="309"/>
      <c r="Y69" s="309"/>
      <c r="Z69" s="309"/>
      <c r="AA69" s="309"/>
      <c r="AB69" s="309"/>
      <c r="AC69" s="309"/>
      <c r="AD69" s="309"/>
      <c r="AE69" s="309"/>
      <c r="AF69" s="309"/>
      <c r="AG69" s="309"/>
      <c r="AH69" s="309"/>
      <c r="AI69" s="309"/>
      <c r="AJ69" s="309"/>
      <c r="AK69" s="309"/>
      <c r="AL69" s="309"/>
      <c r="AM69" s="309"/>
      <c r="AN69" s="309"/>
      <c r="AO69" s="309"/>
      <c r="AP69" s="309"/>
      <c r="AQ69" s="309"/>
      <c r="AR69" s="309"/>
    </row>
    <row r="70" spans="1:44" ht="12.75" x14ac:dyDescent="0.2">
      <c r="A70" s="307" t="s">
        <v>491</v>
      </c>
      <c r="B70" s="308">
        <v>80</v>
      </c>
      <c r="C70" s="309"/>
      <c r="D70" s="309" t="s">
        <v>490</v>
      </c>
      <c r="E70" s="309" t="s">
        <v>27</v>
      </c>
      <c r="F70" s="309">
        <v>0.45</v>
      </c>
      <c r="G70" s="309">
        <v>1.35</v>
      </c>
      <c r="H70" s="309">
        <v>0.68</v>
      </c>
      <c r="I70" s="309"/>
      <c r="J70" s="309" t="s">
        <v>492</v>
      </c>
      <c r="K70" s="309"/>
      <c r="L70" s="309" t="s">
        <v>428</v>
      </c>
      <c r="M70" s="310"/>
      <c r="N70" s="310"/>
      <c r="O70" s="310"/>
      <c r="P70" s="310"/>
      <c r="Q70" s="310"/>
      <c r="R70" s="310"/>
      <c r="S70" s="309"/>
      <c r="T70" s="309"/>
      <c r="U70" s="309"/>
      <c r="V70" s="309"/>
      <c r="W70" s="309"/>
      <c r="X70" s="309"/>
      <c r="Y70" s="309"/>
      <c r="Z70" s="309"/>
      <c r="AA70" s="309"/>
      <c r="AB70" s="309"/>
      <c r="AC70" s="309"/>
      <c r="AD70" s="309"/>
      <c r="AE70" s="309"/>
      <c r="AF70" s="309"/>
      <c r="AG70" s="309"/>
      <c r="AH70" s="309"/>
      <c r="AI70" s="309"/>
      <c r="AJ70" s="309"/>
      <c r="AK70" s="309"/>
      <c r="AL70" s="309"/>
      <c r="AM70" s="309"/>
      <c r="AN70" s="309"/>
      <c r="AO70" s="309"/>
      <c r="AP70" s="309"/>
      <c r="AQ70" s="309"/>
      <c r="AR70" s="309"/>
    </row>
    <row r="71" spans="1:44" ht="12.75" x14ac:dyDescent="0.2">
      <c r="A71" s="307" t="s">
        <v>493</v>
      </c>
      <c r="B71" s="308">
        <v>0</v>
      </c>
      <c r="C71" s="309"/>
      <c r="D71" s="309" t="s">
        <v>490</v>
      </c>
      <c r="E71" s="309" t="s">
        <v>29</v>
      </c>
      <c r="F71" s="309">
        <v>0.38300000000000001</v>
      </c>
      <c r="G71" s="309">
        <v>1.62</v>
      </c>
      <c r="H71" s="309">
        <v>0.625</v>
      </c>
      <c r="I71" s="309"/>
      <c r="J71" s="309" t="s">
        <v>470</v>
      </c>
      <c r="K71" s="309"/>
      <c r="L71" s="309" t="s">
        <v>434</v>
      </c>
      <c r="M71" s="310"/>
      <c r="N71" s="310"/>
      <c r="O71" s="310"/>
      <c r="P71" s="310"/>
      <c r="Q71" s="310"/>
      <c r="R71" s="310"/>
      <c r="S71" s="309"/>
      <c r="T71" s="309"/>
      <c r="U71" s="309"/>
      <c r="V71" s="309"/>
      <c r="W71" s="309"/>
      <c r="X71" s="309"/>
      <c r="Y71" s="309"/>
      <c r="Z71" s="309"/>
      <c r="AA71" s="309"/>
      <c r="AB71" s="309"/>
      <c r="AC71" s="309"/>
      <c r="AD71" s="309"/>
      <c r="AE71" s="309"/>
      <c r="AF71" s="309"/>
      <c r="AG71" s="309"/>
      <c r="AH71" s="309"/>
      <c r="AI71" s="309"/>
      <c r="AJ71" s="309"/>
      <c r="AK71" s="309"/>
      <c r="AL71" s="309"/>
      <c r="AM71" s="309"/>
      <c r="AN71" s="309"/>
      <c r="AO71" s="309"/>
      <c r="AP71" s="309"/>
      <c r="AQ71" s="309"/>
      <c r="AR71" s="309"/>
    </row>
    <row r="72" spans="1:44" ht="12.75" x14ac:dyDescent="0.2">
      <c r="A72" s="317" t="s">
        <v>494</v>
      </c>
      <c r="B72" s="318"/>
      <c r="C72" s="319" t="s">
        <v>495</v>
      </c>
      <c r="D72" s="319" t="s">
        <v>490</v>
      </c>
      <c r="E72" s="319" t="s">
        <v>30</v>
      </c>
      <c r="F72" s="319"/>
      <c r="G72" s="319"/>
      <c r="H72" s="319"/>
      <c r="I72" s="319"/>
      <c r="J72" s="319"/>
      <c r="K72" s="319"/>
      <c r="L72" s="319" t="s">
        <v>439</v>
      </c>
      <c r="M72" s="320"/>
      <c r="N72" s="320"/>
      <c r="O72" s="320"/>
      <c r="P72" s="320"/>
      <c r="Q72" s="320"/>
      <c r="R72" s="320"/>
      <c r="S72" s="319">
        <v>1.5</v>
      </c>
      <c r="T72" s="319"/>
      <c r="U72" s="319"/>
      <c r="V72" s="319"/>
      <c r="W72" s="319"/>
      <c r="X72" s="319"/>
      <c r="Y72" s="319"/>
      <c r="Z72" s="319"/>
      <c r="AA72" s="319"/>
      <c r="AB72" s="319"/>
      <c r="AC72" s="319"/>
      <c r="AD72" s="319"/>
      <c r="AE72" s="319"/>
      <c r="AF72" s="319"/>
      <c r="AG72" s="319"/>
      <c r="AH72" s="319"/>
      <c r="AI72" s="319"/>
      <c r="AJ72" s="319"/>
      <c r="AK72" s="319"/>
      <c r="AL72" s="319"/>
      <c r="AM72" s="319"/>
      <c r="AN72" s="319"/>
      <c r="AO72" s="319"/>
      <c r="AP72" s="319"/>
      <c r="AQ72" s="319"/>
      <c r="AR72" s="319"/>
    </row>
    <row r="73" spans="1:44" ht="12.75" x14ac:dyDescent="0.2">
      <c r="A73" s="317" t="s">
        <v>496</v>
      </c>
      <c r="B73" s="318"/>
      <c r="C73" s="319" t="s">
        <v>441</v>
      </c>
      <c r="D73" s="319" t="s">
        <v>490</v>
      </c>
      <c r="E73" s="319" t="s">
        <v>32</v>
      </c>
      <c r="F73" s="319">
        <v>0.315</v>
      </c>
      <c r="G73" s="319">
        <v>1.58</v>
      </c>
      <c r="H73" s="319">
        <v>0.55000000000000004</v>
      </c>
      <c r="I73" s="319">
        <v>1</v>
      </c>
      <c r="J73" s="319"/>
      <c r="K73" s="319"/>
      <c r="L73" s="319" t="s">
        <v>445</v>
      </c>
      <c r="M73" s="320"/>
      <c r="N73" s="320"/>
      <c r="O73" s="320"/>
      <c r="P73" s="320"/>
      <c r="Q73" s="320"/>
      <c r="R73" s="320"/>
      <c r="S73" s="319">
        <v>1.5</v>
      </c>
      <c r="T73" s="319"/>
      <c r="U73" s="319"/>
      <c r="V73" s="319"/>
      <c r="W73" s="319"/>
      <c r="X73" s="319"/>
      <c r="Y73" s="319"/>
      <c r="Z73" s="319"/>
      <c r="AA73" s="319"/>
      <c r="AB73" s="319"/>
      <c r="AC73" s="319"/>
      <c r="AD73" s="319"/>
      <c r="AE73" s="319"/>
      <c r="AF73" s="319"/>
      <c r="AG73" s="319"/>
      <c r="AH73" s="319"/>
      <c r="AI73" s="319"/>
      <c r="AJ73" s="319"/>
      <c r="AK73" s="319"/>
      <c r="AL73" s="319"/>
      <c r="AM73" s="319"/>
      <c r="AN73" s="319"/>
      <c r="AO73" s="319"/>
      <c r="AP73" s="319"/>
      <c r="AQ73" s="319"/>
      <c r="AR73" s="319"/>
    </row>
    <row r="74" spans="1:44" ht="12.75" x14ac:dyDescent="0.2">
      <c r="A74" s="317" t="s">
        <v>497</v>
      </c>
      <c r="B74" s="318"/>
      <c r="C74" s="319" t="s">
        <v>403</v>
      </c>
      <c r="D74" s="319" t="s">
        <v>490</v>
      </c>
      <c r="E74" s="319" t="s">
        <v>34</v>
      </c>
      <c r="F74" s="319">
        <v>0.32</v>
      </c>
      <c r="G74" s="319">
        <v>1.42</v>
      </c>
      <c r="H74" s="319">
        <v>0.63</v>
      </c>
      <c r="I74" s="319">
        <v>1</v>
      </c>
      <c r="J74" s="319" t="s">
        <v>413</v>
      </c>
      <c r="K74" s="319"/>
      <c r="L74" s="319" t="s">
        <v>414</v>
      </c>
      <c r="M74" s="320"/>
      <c r="N74" s="320"/>
      <c r="O74" s="320"/>
      <c r="P74" s="320">
        <v>43753</v>
      </c>
      <c r="Q74" s="320"/>
      <c r="R74" s="320"/>
      <c r="S74" s="319">
        <v>1.5</v>
      </c>
      <c r="T74" s="319"/>
      <c r="U74" s="319"/>
      <c r="V74" s="319"/>
      <c r="W74" s="319"/>
      <c r="X74" s="319"/>
      <c r="Y74" s="319"/>
      <c r="Z74" s="319"/>
      <c r="AA74" s="319"/>
      <c r="AB74" s="319"/>
      <c r="AC74" s="319"/>
      <c r="AD74" s="319"/>
      <c r="AE74" s="319"/>
      <c r="AF74" s="319"/>
      <c r="AG74" s="319"/>
      <c r="AH74" s="319"/>
      <c r="AI74" s="319"/>
      <c r="AJ74" s="319"/>
      <c r="AK74" s="319"/>
      <c r="AL74" s="319"/>
      <c r="AM74" s="319"/>
      <c r="AN74" s="319"/>
      <c r="AO74" s="319"/>
      <c r="AP74" s="319"/>
      <c r="AQ74" s="319"/>
      <c r="AR74" s="319"/>
    </row>
    <row r="75" spans="1:44" ht="12.75" x14ac:dyDescent="0.2">
      <c r="A75" s="317" t="s">
        <v>498</v>
      </c>
      <c r="B75" s="318"/>
      <c r="C75" s="319" t="s">
        <v>416</v>
      </c>
      <c r="D75" s="319" t="s">
        <v>499</v>
      </c>
      <c r="E75" s="319" t="s">
        <v>500</v>
      </c>
      <c r="F75" s="319"/>
      <c r="G75" s="319"/>
      <c r="H75" s="319"/>
      <c r="I75" s="319">
        <v>1</v>
      </c>
      <c r="J75" s="319"/>
      <c r="K75" s="319"/>
      <c r="L75" s="319"/>
      <c r="M75" s="320"/>
      <c r="N75" s="320"/>
      <c r="O75" s="320"/>
      <c r="P75" s="320"/>
      <c r="Q75" s="320"/>
      <c r="R75" s="320"/>
      <c r="S75" s="319"/>
      <c r="T75" s="319"/>
      <c r="U75" s="319"/>
      <c r="V75" s="319"/>
      <c r="W75" s="319"/>
      <c r="X75" s="319"/>
      <c r="Y75" s="319"/>
      <c r="Z75" s="319"/>
      <c r="AA75" s="319"/>
      <c r="AB75" s="319"/>
      <c r="AC75" s="319"/>
      <c r="AD75" s="319"/>
      <c r="AE75" s="319"/>
      <c r="AF75" s="319"/>
      <c r="AG75" s="319"/>
      <c r="AH75" s="319"/>
      <c r="AI75" s="319"/>
      <c r="AJ75" s="319"/>
      <c r="AK75" s="319"/>
      <c r="AL75" s="319"/>
      <c r="AM75" s="319"/>
      <c r="AN75" s="319"/>
      <c r="AO75" s="319"/>
      <c r="AP75" s="319"/>
      <c r="AQ75" s="319"/>
      <c r="AR75" s="319"/>
    </row>
    <row r="76" spans="1:44" ht="12.75" x14ac:dyDescent="0.2">
      <c r="A76" s="317" t="s">
        <v>501</v>
      </c>
      <c r="B76" s="318"/>
      <c r="C76" s="319" t="s">
        <v>416</v>
      </c>
      <c r="D76" s="319" t="s">
        <v>404</v>
      </c>
      <c r="E76" s="319" t="s">
        <v>243</v>
      </c>
      <c r="F76" s="319"/>
      <c r="G76" s="319"/>
      <c r="H76" s="319"/>
      <c r="I76" s="319">
        <v>1</v>
      </c>
      <c r="J76" s="319"/>
      <c r="K76" s="319"/>
      <c r="L76" s="319"/>
      <c r="M76" s="320"/>
      <c r="N76" s="320"/>
      <c r="O76" s="320"/>
      <c r="P76" s="320"/>
      <c r="Q76" s="320"/>
      <c r="R76" s="320"/>
      <c r="S76" s="319"/>
      <c r="T76" s="319"/>
      <c r="U76" s="319"/>
      <c r="V76" s="319"/>
      <c r="W76" s="319"/>
      <c r="X76" s="319"/>
      <c r="Y76" s="319"/>
      <c r="Z76" s="319"/>
      <c r="AA76" s="319"/>
      <c r="AB76" s="319"/>
      <c r="AC76" s="319"/>
      <c r="AD76" s="319"/>
      <c r="AE76" s="319"/>
      <c r="AF76" s="319"/>
      <c r="AG76" s="319"/>
      <c r="AH76" s="319"/>
      <c r="AI76" s="319"/>
      <c r="AJ76" s="319"/>
      <c r="AK76" s="319"/>
      <c r="AL76" s="319"/>
      <c r="AM76" s="319"/>
      <c r="AN76" s="319"/>
      <c r="AO76" s="319"/>
      <c r="AP76" s="319"/>
      <c r="AQ76" s="319"/>
      <c r="AR76" s="319"/>
    </row>
    <row r="77" spans="1:44" ht="12.75" x14ac:dyDescent="0.2">
      <c r="A77" s="317" t="s">
        <v>502</v>
      </c>
      <c r="B77" s="318"/>
      <c r="C77" s="319" t="s">
        <v>416</v>
      </c>
      <c r="D77" s="319" t="s">
        <v>386</v>
      </c>
      <c r="E77" s="319" t="s">
        <v>5</v>
      </c>
      <c r="F77" s="319">
        <v>0.49299999999999999</v>
      </c>
      <c r="G77" s="319">
        <v>1.55</v>
      </c>
      <c r="H77" s="319">
        <v>0.8</v>
      </c>
      <c r="I77" s="319">
        <v>0</v>
      </c>
      <c r="J77" s="319"/>
      <c r="K77" s="319"/>
      <c r="L77" s="319"/>
      <c r="M77" s="320"/>
      <c r="N77" s="320"/>
      <c r="O77" s="320"/>
      <c r="P77" s="320"/>
      <c r="Q77" s="320"/>
      <c r="R77" s="320"/>
      <c r="S77" s="319"/>
      <c r="T77" s="319"/>
      <c r="U77" s="319"/>
      <c r="V77" s="319"/>
      <c r="W77" s="319"/>
      <c r="X77" s="319"/>
      <c r="Y77" s="319"/>
      <c r="Z77" s="319"/>
      <c r="AA77" s="319"/>
      <c r="AB77" s="319"/>
      <c r="AC77" s="319"/>
      <c r="AD77" s="319"/>
      <c r="AE77" s="319"/>
      <c r="AF77" s="319"/>
      <c r="AG77" s="319"/>
      <c r="AH77" s="319"/>
      <c r="AI77" s="319"/>
      <c r="AJ77" s="319"/>
      <c r="AK77" s="319"/>
      <c r="AL77" s="319"/>
      <c r="AM77" s="319"/>
      <c r="AN77" s="319"/>
      <c r="AO77" s="319"/>
      <c r="AP77" s="319"/>
      <c r="AQ77" s="319"/>
      <c r="AR77" s="319"/>
    </row>
    <row r="78" spans="1:44" ht="12.75" x14ac:dyDescent="0.2">
      <c r="A78" s="317" t="s">
        <v>503</v>
      </c>
      <c r="B78" s="318"/>
      <c r="C78" s="319" t="s">
        <v>416</v>
      </c>
      <c r="D78" s="319" t="s">
        <v>386</v>
      </c>
      <c r="E78" s="319" t="s">
        <v>244</v>
      </c>
      <c r="F78" s="319">
        <v>0.52</v>
      </c>
      <c r="G78" s="319">
        <v>1.47</v>
      </c>
      <c r="H78" s="319">
        <v>0.73</v>
      </c>
      <c r="I78" s="319">
        <v>0</v>
      </c>
      <c r="J78" s="319"/>
      <c r="K78" s="319"/>
      <c r="L78" s="319"/>
      <c r="M78" s="320"/>
      <c r="N78" s="320"/>
      <c r="O78" s="320"/>
      <c r="P78" s="320"/>
      <c r="Q78" s="320"/>
      <c r="R78" s="320"/>
      <c r="S78" s="319"/>
      <c r="T78" s="319"/>
      <c r="U78" s="319"/>
      <c r="V78" s="319"/>
      <c r="W78" s="319"/>
      <c r="X78" s="319"/>
      <c r="Y78" s="319"/>
      <c r="Z78" s="319"/>
      <c r="AA78" s="319"/>
      <c r="AB78" s="319"/>
      <c r="AC78" s="319"/>
      <c r="AD78" s="319"/>
      <c r="AE78" s="319"/>
      <c r="AF78" s="319"/>
      <c r="AG78" s="319"/>
      <c r="AH78" s="319"/>
      <c r="AI78" s="319"/>
      <c r="AJ78" s="319"/>
      <c r="AK78" s="319"/>
      <c r="AL78" s="319"/>
      <c r="AM78" s="319"/>
      <c r="AN78" s="319"/>
      <c r="AO78" s="319"/>
      <c r="AP78" s="319"/>
      <c r="AQ78" s="319"/>
      <c r="AR78" s="319"/>
    </row>
    <row r="79" spans="1:44" ht="12.75" x14ac:dyDescent="0.2">
      <c r="A79" s="317" t="s">
        <v>504</v>
      </c>
      <c r="B79" s="318"/>
      <c r="C79" s="319" t="s">
        <v>416</v>
      </c>
      <c r="D79" s="319" t="s">
        <v>404</v>
      </c>
      <c r="E79" s="319" t="s">
        <v>245</v>
      </c>
      <c r="F79" s="319">
        <v>0.48099999999999998</v>
      </c>
      <c r="G79" s="319">
        <v>1.51</v>
      </c>
      <c r="H79" s="319">
        <v>0.65</v>
      </c>
      <c r="I79" s="319">
        <v>1</v>
      </c>
      <c r="J79" s="319"/>
      <c r="K79" s="319"/>
      <c r="L79" s="319"/>
      <c r="M79" s="320"/>
      <c r="N79" s="320"/>
      <c r="O79" s="320"/>
      <c r="P79" s="320"/>
      <c r="Q79" s="320"/>
      <c r="R79" s="320"/>
      <c r="S79" s="319"/>
      <c r="T79" s="319"/>
      <c r="U79" s="319"/>
      <c r="V79" s="319"/>
      <c r="W79" s="319"/>
      <c r="X79" s="319"/>
      <c r="Y79" s="319"/>
      <c r="Z79" s="319"/>
      <c r="AA79" s="319"/>
      <c r="AB79" s="319"/>
      <c r="AC79" s="319"/>
      <c r="AD79" s="319"/>
      <c r="AE79" s="319"/>
      <c r="AF79" s="319"/>
      <c r="AG79" s="319"/>
      <c r="AH79" s="319"/>
      <c r="AI79" s="319"/>
      <c r="AJ79" s="319"/>
      <c r="AK79" s="319"/>
      <c r="AL79" s="319"/>
      <c r="AM79" s="319"/>
      <c r="AN79" s="319"/>
      <c r="AO79" s="319"/>
      <c r="AP79" s="319"/>
      <c r="AQ79" s="319"/>
      <c r="AR79" s="319"/>
    </row>
    <row r="80" spans="1:44" ht="12.75" x14ac:dyDescent="0.2">
      <c r="A80" s="307" t="s">
        <v>505</v>
      </c>
      <c r="B80" s="308">
        <v>95</v>
      </c>
      <c r="C80" s="309"/>
      <c r="D80" s="309" t="s">
        <v>506</v>
      </c>
      <c r="E80" s="309" t="s">
        <v>11</v>
      </c>
      <c r="F80" s="309">
        <v>0.439</v>
      </c>
      <c r="G80" s="309">
        <v>1.51</v>
      </c>
      <c r="H80" s="309">
        <v>0.79</v>
      </c>
      <c r="I80" s="309"/>
      <c r="J80" s="309" t="s">
        <v>421</v>
      </c>
      <c r="K80" s="309"/>
      <c r="L80" s="309" t="s">
        <v>422</v>
      </c>
      <c r="M80" s="310"/>
      <c r="N80" s="310"/>
      <c r="O80" s="310"/>
      <c r="P80" s="310"/>
      <c r="Q80" s="310"/>
      <c r="R80" s="310"/>
      <c r="S80" s="309"/>
      <c r="T80" s="309"/>
      <c r="U80" s="309"/>
      <c r="V80" s="309"/>
      <c r="W80" s="309"/>
      <c r="X80" s="309"/>
      <c r="Y80" s="309"/>
      <c r="Z80" s="309"/>
      <c r="AA80" s="309"/>
      <c r="AB80" s="309"/>
      <c r="AC80" s="309"/>
      <c r="AD80" s="309"/>
      <c r="AE80" s="309"/>
      <c r="AF80" s="309"/>
      <c r="AG80" s="309"/>
      <c r="AH80" s="309"/>
      <c r="AI80" s="309"/>
      <c r="AJ80" s="309"/>
      <c r="AK80" s="309"/>
      <c r="AL80" s="309"/>
      <c r="AM80" s="309"/>
      <c r="AN80" s="309"/>
      <c r="AO80" s="309"/>
      <c r="AP80" s="309"/>
      <c r="AQ80" s="309"/>
      <c r="AR80" s="309"/>
    </row>
    <row r="81" spans="1:44" ht="12.75" x14ac:dyDescent="0.2">
      <c r="A81" s="307" t="s">
        <v>507</v>
      </c>
      <c r="B81" s="308">
        <v>90</v>
      </c>
      <c r="C81" s="309"/>
      <c r="D81" s="309" t="s">
        <v>506</v>
      </c>
      <c r="E81" s="309" t="s">
        <v>424</v>
      </c>
      <c r="F81" s="309">
        <v>0.433</v>
      </c>
      <c r="G81" s="309">
        <v>1.62</v>
      </c>
      <c r="H81" s="309">
        <v>0.71</v>
      </c>
      <c r="I81" s="309"/>
      <c r="J81" s="309" t="s">
        <v>460</v>
      </c>
      <c r="K81" s="309"/>
      <c r="L81" s="309" t="s">
        <v>425</v>
      </c>
      <c r="M81" s="310"/>
      <c r="N81" s="310"/>
      <c r="O81" s="310"/>
      <c r="P81" s="310"/>
      <c r="Q81" s="310"/>
      <c r="R81" s="310"/>
      <c r="S81" s="309"/>
      <c r="T81" s="309"/>
      <c r="U81" s="309"/>
      <c r="V81" s="309"/>
      <c r="W81" s="309"/>
      <c r="X81" s="309"/>
      <c r="Y81" s="309"/>
      <c r="Z81" s="309"/>
      <c r="AA81" s="309"/>
      <c r="AB81" s="309"/>
      <c r="AC81" s="309"/>
      <c r="AD81" s="309"/>
      <c r="AE81" s="309"/>
      <c r="AF81" s="309"/>
      <c r="AG81" s="309"/>
      <c r="AH81" s="309"/>
      <c r="AI81" s="309"/>
      <c r="AJ81" s="309"/>
      <c r="AK81" s="309"/>
      <c r="AL81" s="309"/>
      <c r="AM81" s="309"/>
      <c r="AN81" s="309"/>
      <c r="AO81" s="309"/>
      <c r="AP81" s="309"/>
      <c r="AQ81" s="309"/>
      <c r="AR81" s="309"/>
    </row>
    <row r="82" spans="1:44" ht="12.75" x14ac:dyDescent="0.2">
      <c r="A82" s="307" t="s">
        <v>508</v>
      </c>
      <c r="B82" s="308">
        <v>20</v>
      </c>
      <c r="C82" s="309"/>
      <c r="D82" s="309" t="s">
        <v>506</v>
      </c>
      <c r="E82" s="309" t="s">
        <v>27</v>
      </c>
      <c r="F82" s="309">
        <v>0.438</v>
      </c>
      <c r="G82" s="309">
        <v>1.5</v>
      </c>
      <c r="H82" s="309">
        <v>0.74</v>
      </c>
      <c r="I82" s="309"/>
      <c r="J82" s="309" t="s">
        <v>492</v>
      </c>
      <c r="K82" s="309"/>
      <c r="L82" s="309" t="s">
        <v>428</v>
      </c>
      <c r="M82" s="310"/>
      <c r="N82" s="310"/>
      <c r="O82" s="310"/>
      <c r="P82" s="310"/>
      <c r="Q82" s="310"/>
      <c r="R82" s="310"/>
      <c r="S82" s="309"/>
      <c r="T82" s="309"/>
      <c r="U82" s="309"/>
      <c r="V82" s="309"/>
      <c r="W82" s="309"/>
      <c r="X82" s="309"/>
      <c r="Y82" s="309"/>
      <c r="Z82" s="309"/>
      <c r="AA82" s="309"/>
      <c r="AB82" s="309"/>
      <c r="AC82" s="309"/>
      <c r="AD82" s="309"/>
      <c r="AE82" s="309"/>
      <c r="AF82" s="309"/>
      <c r="AG82" s="309"/>
      <c r="AH82" s="309"/>
      <c r="AI82" s="309"/>
      <c r="AJ82" s="309"/>
      <c r="AK82" s="309"/>
      <c r="AL82" s="309"/>
      <c r="AM82" s="309"/>
      <c r="AN82" s="309"/>
      <c r="AO82" s="309"/>
      <c r="AP82" s="309"/>
      <c r="AQ82" s="309"/>
      <c r="AR82" s="309"/>
    </row>
    <row r="83" spans="1:44" ht="12.75" x14ac:dyDescent="0.2">
      <c r="A83" s="307" t="s">
        <v>509</v>
      </c>
      <c r="B83" s="308">
        <v>60</v>
      </c>
      <c r="C83" s="309"/>
      <c r="D83" s="309" t="s">
        <v>506</v>
      </c>
      <c r="E83" s="309" t="s">
        <v>28</v>
      </c>
      <c r="F83" s="309">
        <v>0.376</v>
      </c>
      <c r="G83" s="309">
        <v>1.77</v>
      </c>
      <c r="H83" s="309">
        <v>0.61</v>
      </c>
      <c r="I83" s="309"/>
      <c r="J83" s="309" t="s">
        <v>430</v>
      </c>
      <c r="K83" s="309"/>
      <c r="L83" s="309" t="s">
        <v>431</v>
      </c>
      <c r="M83" s="310"/>
      <c r="N83" s="310"/>
      <c r="O83" s="310"/>
      <c r="P83" s="310"/>
      <c r="Q83" s="310"/>
      <c r="R83" s="310"/>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row>
    <row r="84" spans="1:44" ht="12.75" x14ac:dyDescent="0.2">
      <c r="A84" s="307" t="s">
        <v>510</v>
      </c>
      <c r="B84" s="308">
        <v>0</v>
      </c>
      <c r="C84" s="309"/>
      <c r="D84" s="309" t="s">
        <v>506</v>
      </c>
      <c r="E84" s="309" t="s">
        <v>29</v>
      </c>
      <c r="F84" s="309">
        <v>0.38</v>
      </c>
      <c r="G84" s="309">
        <v>1.54</v>
      </c>
      <c r="H84" s="309">
        <v>0.57999999999999996</v>
      </c>
      <c r="I84" s="309"/>
      <c r="J84" s="309" t="s">
        <v>470</v>
      </c>
      <c r="K84" s="309"/>
      <c r="L84" s="309" t="s">
        <v>434</v>
      </c>
      <c r="M84" s="310"/>
      <c r="N84" s="310"/>
      <c r="O84" s="310"/>
      <c r="P84" s="310"/>
      <c r="Q84" s="310"/>
      <c r="R84" s="310"/>
      <c r="S84" s="309"/>
      <c r="T84" s="309"/>
      <c r="U84" s="309"/>
      <c r="V84" s="309"/>
      <c r="W84" s="309"/>
      <c r="X84" s="309"/>
      <c r="Y84" s="309"/>
      <c r="Z84" s="309"/>
      <c r="AA84" s="309"/>
      <c r="AB84" s="309"/>
      <c r="AC84" s="309"/>
      <c r="AD84" s="309"/>
      <c r="AE84" s="309"/>
      <c r="AF84" s="309"/>
      <c r="AG84" s="309"/>
      <c r="AH84" s="309"/>
      <c r="AI84" s="309"/>
      <c r="AJ84" s="309"/>
      <c r="AK84" s="309"/>
      <c r="AL84" s="309"/>
      <c r="AM84" s="309"/>
      <c r="AN84" s="309"/>
      <c r="AO84" s="309"/>
      <c r="AP84" s="309"/>
      <c r="AQ84" s="309"/>
      <c r="AR84" s="309"/>
    </row>
    <row r="85" spans="1:44" ht="12.75" x14ac:dyDescent="0.2">
      <c r="A85" s="307" t="s">
        <v>511</v>
      </c>
      <c r="B85" s="308">
        <v>0</v>
      </c>
      <c r="C85" s="309"/>
      <c r="D85" s="309" t="s">
        <v>506</v>
      </c>
      <c r="E85" s="309" t="s">
        <v>30</v>
      </c>
      <c r="F85" s="309">
        <v>0.37</v>
      </c>
      <c r="G85" s="309">
        <v>1.85</v>
      </c>
      <c r="H85" s="309">
        <v>0.57999999999999996</v>
      </c>
      <c r="I85" s="309"/>
      <c r="J85" s="309" t="s">
        <v>436</v>
      </c>
      <c r="K85" s="309"/>
      <c r="L85" s="309" t="s">
        <v>437</v>
      </c>
      <c r="M85" s="310"/>
      <c r="N85" s="310"/>
      <c r="O85" s="310"/>
      <c r="P85" s="310"/>
      <c r="Q85" s="310"/>
      <c r="R85" s="310"/>
      <c r="S85" s="309"/>
      <c r="T85" s="309"/>
      <c r="U85" s="309"/>
      <c r="V85" s="309"/>
      <c r="W85" s="309"/>
      <c r="X85" s="309"/>
      <c r="Y85" s="309"/>
      <c r="Z85" s="309"/>
      <c r="AA85" s="309"/>
      <c r="AB85" s="309"/>
      <c r="AC85" s="309"/>
      <c r="AD85" s="309"/>
      <c r="AE85" s="309"/>
      <c r="AF85" s="309"/>
      <c r="AG85" s="309"/>
      <c r="AH85" s="309"/>
      <c r="AI85" s="309"/>
      <c r="AJ85" s="309"/>
      <c r="AK85" s="309"/>
      <c r="AL85" s="309"/>
      <c r="AM85" s="309"/>
      <c r="AN85" s="309"/>
      <c r="AO85" s="309"/>
      <c r="AP85" s="309"/>
      <c r="AQ85" s="309"/>
      <c r="AR85" s="309"/>
    </row>
    <row r="86" spans="1:44" ht="12.75" x14ac:dyDescent="0.2">
      <c r="A86" s="304" t="s">
        <v>512</v>
      </c>
      <c r="B86" s="305"/>
      <c r="D86" s="200" t="s">
        <v>506</v>
      </c>
      <c r="E86" s="200" t="s">
        <v>31</v>
      </c>
      <c r="F86" s="200">
        <v>0.313</v>
      </c>
      <c r="G86" s="200">
        <v>1.81</v>
      </c>
      <c r="H86" s="200">
        <v>0.625</v>
      </c>
      <c r="I86" s="200">
        <v>1</v>
      </c>
      <c r="J86" s="200" t="s">
        <v>473</v>
      </c>
      <c r="K86" s="200"/>
      <c r="L86" s="200" t="s">
        <v>439</v>
      </c>
      <c r="M86" s="306"/>
      <c r="N86" s="306"/>
      <c r="O86" s="306"/>
      <c r="P86" s="306"/>
      <c r="Q86" s="306"/>
      <c r="R86" s="306"/>
    </row>
    <row r="87" spans="1:44" ht="12.75" x14ac:dyDescent="0.2">
      <c r="A87" s="304" t="s">
        <v>513</v>
      </c>
      <c r="B87" s="305"/>
      <c r="C87" s="200" t="s">
        <v>366</v>
      </c>
      <c r="D87" s="313" t="s">
        <v>506</v>
      </c>
      <c r="E87" s="200" t="s">
        <v>32</v>
      </c>
      <c r="F87" s="200">
        <v>0.32</v>
      </c>
      <c r="G87" s="200">
        <v>1.55</v>
      </c>
      <c r="H87" s="200">
        <v>0.625</v>
      </c>
      <c r="J87" s="200" t="s">
        <v>475</v>
      </c>
      <c r="K87" s="200"/>
      <c r="L87" s="200" t="s">
        <v>442</v>
      </c>
      <c r="M87" s="306"/>
      <c r="N87" s="306"/>
      <c r="O87" s="306"/>
      <c r="P87" s="306"/>
      <c r="Q87" s="306"/>
      <c r="R87" s="306"/>
    </row>
    <row r="88" spans="1:44" ht="12.75" x14ac:dyDescent="0.2">
      <c r="A88" s="304" t="s">
        <v>514</v>
      </c>
      <c r="B88" s="305"/>
      <c r="C88" s="200" t="s">
        <v>366</v>
      </c>
      <c r="D88" s="313" t="s">
        <v>506</v>
      </c>
      <c r="E88" s="200" t="s">
        <v>33</v>
      </c>
      <c r="F88" s="200">
        <v>0.32</v>
      </c>
      <c r="G88" s="200">
        <v>1.62</v>
      </c>
      <c r="H88" s="200">
        <v>0.69</v>
      </c>
      <c r="J88" s="200" t="s">
        <v>444</v>
      </c>
      <c r="K88" s="200"/>
      <c r="L88" s="200" t="s">
        <v>445</v>
      </c>
      <c r="M88" s="306"/>
      <c r="N88" s="306"/>
      <c r="O88" s="306"/>
      <c r="P88" s="306"/>
      <c r="Q88" s="306"/>
      <c r="R88" s="306"/>
    </row>
    <row r="89" spans="1:44" ht="12.75" x14ac:dyDescent="0.2">
      <c r="A89" s="307" t="s">
        <v>515</v>
      </c>
      <c r="B89" s="308">
        <v>80</v>
      </c>
      <c r="C89" s="309"/>
      <c r="D89" s="309" t="s">
        <v>506</v>
      </c>
      <c r="E89" s="309" t="s">
        <v>34</v>
      </c>
      <c r="F89" s="309">
        <v>0.308</v>
      </c>
      <c r="G89" s="309">
        <v>1.58</v>
      </c>
      <c r="H89" s="309">
        <v>0.56000000000000005</v>
      </c>
      <c r="I89" s="309"/>
      <c r="J89" s="309" t="s">
        <v>413</v>
      </c>
      <c r="K89" s="309"/>
      <c r="L89" s="309" t="s">
        <v>414</v>
      </c>
      <c r="M89" s="310"/>
      <c r="N89" s="310"/>
      <c r="O89" s="310"/>
      <c r="P89" s="310"/>
      <c r="Q89" s="310"/>
      <c r="R89" s="310"/>
      <c r="S89" s="309"/>
      <c r="T89" s="309"/>
      <c r="U89" s="309"/>
      <c r="V89" s="309"/>
      <c r="W89" s="309"/>
      <c r="X89" s="309"/>
      <c r="Y89" s="309"/>
      <c r="Z89" s="309"/>
      <c r="AA89" s="309"/>
      <c r="AB89" s="309"/>
      <c r="AC89" s="309"/>
      <c r="AD89" s="309"/>
      <c r="AE89" s="309"/>
      <c r="AF89" s="309"/>
      <c r="AG89" s="309"/>
      <c r="AH89" s="309"/>
      <c r="AI89" s="309"/>
      <c r="AJ89" s="309"/>
      <c r="AK89" s="309"/>
      <c r="AL89" s="309"/>
      <c r="AM89" s="309"/>
      <c r="AN89" s="309"/>
      <c r="AO89" s="309"/>
      <c r="AP89" s="309"/>
      <c r="AQ89" s="309"/>
      <c r="AR89" s="309"/>
    </row>
    <row r="90" spans="1:44" ht="12.75" x14ac:dyDescent="0.2">
      <c r="A90" s="304" t="s">
        <v>516</v>
      </c>
      <c r="B90" s="305"/>
      <c r="D90" s="313" t="s">
        <v>506</v>
      </c>
      <c r="E90" s="200" t="s">
        <v>40</v>
      </c>
      <c r="F90" s="200">
        <v>0.27</v>
      </c>
      <c r="G90" s="200">
        <v>1.69</v>
      </c>
      <c r="H90" s="200">
        <v>0.47</v>
      </c>
      <c r="J90" s="200" t="s">
        <v>449</v>
      </c>
      <c r="K90" s="200"/>
      <c r="L90" s="200" t="s">
        <v>450</v>
      </c>
      <c r="M90" s="306"/>
      <c r="N90" s="306"/>
      <c r="O90" s="306"/>
      <c r="P90" s="306"/>
      <c r="Q90" s="306"/>
      <c r="R90" s="306"/>
    </row>
    <row r="91" spans="1:44" ht="12.75" x14ac:dyDescent="0.2">
      <c r="A91" s="317" t="s">
        <v>517</v>
      </c>
      <c r="B91" s="318"/>
      <c r="C91" s="319" t="s">
        <v>416</v>
      </c>
      <c r="D91" s="319" t="s">
        <v>506</v>
      </c>
      <c r="E91" s="319" t="s">
        <v>36</v>
      </c>
      <c r="F91" s="319"/>
      <c r="G91" s="319"/>
      <c r="H91" s="319"/>
      <c r="I91" s="319">
        <v>1</v>
      </c>
      <c r="J91" s="319"/>
      <c r="K91" s="319"/>
      <c r="L91" s="319" t="s">
        <v>417</v>
      </c>
      <c r="M91" s="320"/>
      <c r="N91" s="320"/>
      <c r="O91" s="320"/>
      <c r="P91" s="320"/>
      <c r="Q91" s="320"/>
      <c r="R91" s="320"/>
      <c r="S91" s="319"/>
      <c r="T91" s="319"/>
      <c r="U91" s="319"/>
      <c r="V91" s="319"/>
      <c r="W91" s="319"/>
      <c r="X91" s="319"/>
      <c r="Y91" s="319"/>
      <c r="Z91" s="319"/>
      <c r="AA91" s="319"/>
      <c r="AB91" s="319"/>
      <c r="AC91" s="319"/>
      <c r="AD91" s="319"/>
      <c r="AE91" s="319"/>
      <c r="AF91" s="319"/>
      <c r="AG91" s="319"/>
      <c r="AH91" s="319"/>
      <c r="AI91" s="319"/>
      <c r="AJ91" s="319"/>
      <c r="AK91" s="319"/>
      <c r="AL91" s="319"/>
      <c r="AM91" s="319"/>
      <c r="AN91" s="319"/>
      <c r="AO91" s="319"/>
      <c r="AP91" s="319"/>
      <c r="AQ91" s="319"/>
      <c r="AR91" s="319"/>
    </row>
    <row r="92" spans="1:44" ht="12.75" x14ac:dyDescent="0.2">
      <c r="A92" s="317" t="s">
        <v>518</v>
      </c>
      <c r="B92" s="318"/>
      <c r="C92" s="319" t="s">
        <v>403</v>
      </c>
      <c r="D92" s="319" t="s">
        <v>519</v>
      </c>
      <c r="E92" s="319" t="s">
        <v>27</v>
      </c>
      <c r="F92" s="319">
        <v>0.41</v>
      </c>
      <c r="G92" s="319">
        <v>1.98</v>
      </c>
      <c r="H92" s="319">
        <v>0.62</v>
      </c>
      <c r="I92" s="319">
        <v>1</v>
      </c>
      <c r="J92" s="319"/>
      <c r="K92" s="319"/>
      <c r="L92" s="319" t="s">
        <v>431</v>
      </c>
      <c r="M92" s="320"/>
      <c r="N92" s="320"/>
      <c r="O92" s="320"/>
      <c r="P92" s="320"/>
      <c r="Q92" s="320"/>
      <c r="R92" s="320"/>
      <c r="S92" s="319"/>
      <c r="T92" s="319"/>
      <c r="U92" s="319"/>
      <c r="V92" s="319"/>
      <c r="W92" s="319"/>
      <c r="X92" s="319"/>
      <c r="Y92" s="319"/>
      <c r="Z92" s="319"/>
      <c r="AA92" s="319"/>
      <c r="AB92" s="319"/>
      <c r="AC92" s="319"/>
      <c r="AD92" s="319"/>
      <c r="AE92" s="319"/>
      <c r="AF92" s="319"/>
      <c r="AG92" s="319"/>
      <c r="AH92" s="319"/>
      <c r="AI92" s="319"/>
      <c r="AJ92" s="319"/>
      <c r="AK92" s="319"/>
      <c r="AL92" s="319"/>
      <c r="AM92" s="319"/>
      <c r="AN92" s="319"/>
      <c r="AO92" s="319"/>
      <c r="AP92" s="319"/>
      <c r="AQ92" s="319"/>
      <c r="AR92" s="319"/>
    </row>
    <row r="93" spans="1:44" ht="12.75" x14ac:dyDescent="0.2">
      <c r="A93" s="317" t="s">
        <v>520</v>
      </c>
      <c r="B93" s="318"/>
      <c r="C93" s="319" t="s">
        <v>441</v>
      </c>
      <c r="D93" s="319" t="s">
        <v>519</v>
      </c>
      <c r="E93" s="319" t="s">
        <v>30</v>
      </c>
      <c r="F93" s="319">
        <v>0.38</v>
      </c>
      <c r="G93" s="319">
        <v>2.15</v>
      </c>
      <c r="H93" s="319">
        <v>0.62</v>
      </c>
      <c r="I93" s="319">
        <v>1</v>
      </c>
      <c r="J93" s="319" t="s">
        <v>436</v>
      </c>
      <c r="K93" s="319"/>
      <c r="L93" s="319" t="s">
        <v>437</v>
      </c>
      <c r="M93" s="320"/>
      <c r="N93" s="320"/>
      <c r="O93" s="320"/>
      <c r="P93" s="320"/>
      <c r="Q93" s="320"/>
      <c r="R93" s="320"/>
      <c r="S93" s="319"/>
      <c r="T93" s="319"/>
      <c r="U93" s="319"/>
      <c r="V93" s="319"/>
      <c r="W93" s="319"/>
      <c r="X93" s="319"/>
      <c r="Y93" s="319"/>
      <c r="Z93" s="319"/>
      <c r="AA93" s="319"/>
      <c r="AB93" s="319"/>
      <c r="AC93" s="319"/>
      <c r="AD93" s="319"/>
      <c r="AE93" s="319"/>
      <c r="AF93" s="319"/>
      <c r="AG93" s="319"/>
      <c r="AH93" s="319"/>
      <c r="AI93" s="319"/>
      <c r="AJ93" s="319"/>
      <c r="AK93" s="319"/>
      <c r="AL93" s="319"/>
      <c r="AM93" s="319"/>
      <c r="AN93" s="319"/>
      <c r="AO93" s="319"/>
      <c r="AP93" s="319"/>
      <c r="AQ93" s="319"/>
      <c r="AR93" s="319"/>
    </row>
    <row r="94" spans="1:44" ht="12.75" x14ac:dyDescent="0.2">
      <c r="A94" s="317" t="s">
        <v>521</v>
      </c>
      <c r="B94" s="318"/>
      <c r="C94" s="319" t="s">
        <v>522</v>
      </c>
      <c r="D94" s="319" t="s">
        <v>519</v>
      </c>
      <c r="E94" s="319" t="s">
        <v>31</v>
      </c>
      <c r="F94" s="319"/>
      <c r="G94" s="319"/>
      <c r="H94" s="319"/>
      <c r="I94" s="319"/>
      <c r="J94" s="319"/>
      <c r="K94" s="319"/>
      <c r="L94" s="319" t="s">
        <v>442</v>
      </c>
      <c r="M94" s="320"/>
      <c r="N94" s="320"/>
      <c r="O94" s="320"/>
      <c r="P94" s="320"/>
      <c r="Q94" s="320"/>
      <c r="R94" s="320"/>
      <c r="S94" s="319"/>
      <c r="T94" s="319"/>
      <c r="U94" s="319"/>
      <c r="V94" s="319"/>
      <c r="W94" s="319"/>
      <c r="X94" s="319"/>
      <c r="Y94" s="319"/>
      <c r="Z94" s="319"/>
      <c r="AA94" s="319"/>
      <c r="AB94" s="319"/>
      <c r="AC94" s="319"/>
      <c r="AD94" s="319"/>
      <c r="AE94" s="319"/>
      <c r="AF94" s="319"/>
      <c r="AG94" s="319"/>
      <c r="AH94" s="319"/>
      <c r="AI94" s="319"/>
      <c r="AJ94" s="319"/>
      <c r="AK94" s="319"/>
      <c r="AL94" s="319"/>
      <c r="AM94" s="319"/>
      <c r="AN94" s="319"/>
      <c r="AO94" s="319"/>
      <c r="AP94" s="319"/>
      <c r="AQ94" s="319"/>
      <c r="AR94" s="319"/>
    </row>
    <row r="95" spans="1:44" ht="12.75" x14ac:dyDescent="0.2">
      <c r="A95" s="304" t="s">
        <v>523</v>
      </c>
      <c r="B95" s="305"/>
      <c r="D95" s="200" t="s">
        <v>519</v>
      </c>
      <c r="E95" s="200" t="s">
        <v>33</v>
      </c>
      <c r="F95" s="200">
        <v>0.32300000000000001</v>
      </c>
      <c r="G95" s="200">
        <v>1.41</v>
      </c>
      <c r="H95" s="200">
        <v>0.54</v>
      </c>
      <c r="J95" s="200" t="s">
        <v>444</v>
      </c>
      <c r="K95" s="200"/>
      <c r="L95" s="200" t="s">
        <v>445</v>
      </c>
      <c r="M95" s="306"/>
      <c r="N95" s="306"/>
      <c r="O95" s="306"/>
      <c r="P95" s="306"/>
      <c r="Q95" s="306"/>
      <c r="R95" s="306"/>
    </row>
    <row r="96" spans="1:44" ht="12.75" x14ac:dyDescent="0.2">
      <c r="A96" s="317" t="s">
        <v>524</v>
      </c>
      <c r="B96" s="318"/>
      <c r="C96" s="319" t="s">
        <v>403</v>
      </c>
      <c r="D96" s="319" t="s">
        <v>519</v>
      </c>
      <c r="E96" s="319" t="s">
        <v>34</v>
      </c>
      <c r="F96" s="319">
        <v>0.32500000000000001</v>
      </c>
      <c r="G96" s="319">
        <v>1.31</v>
      </c>
      <c r="H96" s="319">
        <v>0.61</v>
      </c>
      <c r="I96" s="319">
        <v>1</v>
      </c>
      <c r="J96" s="319" t="s">
        <v>413</v>
      </c>
      <c r="K96" s="319"/>
      <c r="L96" s="319" t="s">
        <v>414</v>
      </c>
      <c r="M96" s="320"/>
      <c r="N96" s="320"/>
      <c r="O96" s="320"/>
      <c r="P96" s="320"/>
      <c r="Q96" s="320"/>
      <c r="R96" s="320"/>
      <c r="S96" s="319"/>
      <c r="T96" s="319"/>
      <c r="U96" s="319"/>
      <c r="V96" s="319"/>
      <c r="W96" s="319"/>
      <c r="X96" s="319"/>
      <c r="Y96" s="319"/>
      <c r="Z96" s="319"/>
      <c r="AA96" s="319"/>
      <c r="AB96" s="319"/>
      <c r="AC96" s="319"/>
      <c r="AD96" s="319"/>
      <c r="AE96" s="319"/>
      <c r="AF96" s="319"/>
      <c r="AG96" s="319"/>
      <c r="AH96" s="319"/>
      <c r="AI96" s="319"/>
      <c r="AJ96" s="319"/>
      <c r="AK96" s="319"/>
      <c r="AL96" s="319"/>
      <c r="AM96" s="319"/>
      <c r="AN96" s="319"/>
      <c r="AO96" s="319"/>
      <c r="AP96" s="319"/>
      <c r="AQ96" s="319"/>
      <c r="AR96" s="319"/>
    </row>
    <row r="97" spans="1:44" ht="12.75" x14ac:dyDescent="0.2">
      <c r="A97" s="304" t="s">
        <v>525</v>
      </c>
      <c r="B97" s="305"/>
      <c r="D97" s="200" t="s">
        <v>519</v>
      </c>
      <c r="E97" s="200" t="s">
        <v>34</v>
      </c>
      <c r="F97" s="200">
        <v>0.32200000000000001</v>
      </c>
      <c r="G97" s="200">
        <v>1.4</v>
      </c>
      <c r="H97" s="200">
        <v>0.56999999999999995</v>
      </c>
      <c r="J97" s="200" t="s">
        <v>413</v>
      </c>
      <c r="K97" s="200"/>
      <c r="L97" s="200" t="s">
        <v>414</v>
      </c>
      <c r="M97" s="306"/>
      <c r="N97" s="306"/>
      <c r="O97" s="306"/>
      <c r="P97" s="306"/>
      <c r="Q97" s="306"/>
      <c r="R97" s="306"/>
    </row>
    <row r="98" spans="1:44" ht="12.75" x14ac:dyDescent="0.2">
      <c r="A98" s="317" t="s">
        <v>526</v>
      </c>
      <c r="B98" s="318"/>
      <c r="C98" s="319" t="s">
        <v>522</v>
      </c>
      <c r="D98" s="319" t="s">
        <v>519</v>
      </c>
      <c r="E98" s="319" t="s">
        <v>34</v>
      </c>
      <c r="F98" s="319"/>
      <c r="G98" s="319"/>
      <c r="H98" s="319"/>
      <c r="I98" s="319"/>
      <c r="J98" s="319"/>
      <c r="K98" s="319"/>
      <c r="L98" s="319" t="s">
        <v>450</v>
      </c>
      <c r="M98" s="320"/>
      <c r="N98" s="320"/>
      <c r="O98" s="320"/>
      <c r="P98" s="320"/>
      <c r="Q98" s="320"/>
      <c r="R98" s="320"/>
      <c r="S98" s="319"/>
      <c r="T98" s="319"/>
      <c r="U98" s="319"/>
      <c r="V98" s="319"/>
      <c r="W98" s="319"/>
      <c r="X98" s="319"/>
      <c r="Y98" s="319"/>
      <c r="Z98" s="319"/>
      <c r="AA98" s="319"/>
      <c r="AB98" s="319"/>
      <c r="AC98" s="319"/>
      <c r="AD98" s="319"/>
      <c r="AE98" s="319"/>
      <c r="AF98" s="319"/>
      <c r="AG98" s="319"/>
      <c r="AH98" s="319"/>
      <c r="AI98" s="319"/>
      <c r="AJ98" s="319"/>
      <c r="AK98" s="319"/>
      <c r="AL98" s="319"/>
      <c r="AM98" s="319"/>
      <c r="AN98" s="319"/>
      <c r="AO98" s="319"/>
      <c r="AP98" s="319"/>
      <c r="AQ98" s="319"/>
      <c r="AR98" s="319"/>
    </row>
    <row r="99" spans="1:44" ht="12.75" x14ac:dyDescent="0.2">
      <c r="A99" s="317" t="s">
        <v>527</v>
      </c>
      <c r="B99" s="318"/>
      <c r="C99" s="319" t="s">
        <v>522</v>
      </c>
      <c r="D99" s="319" t="s">
        <v>519</v>
      </c>
      <c r="E99" s="319" t="s">
        <v>40</v>
      </c>
      <c r="F99" s="319"/>
      <c r="G99" s="319"/>
      <c r="H99" s="319"/>
      <c r="I99" s="319"/>
      <c r="J99" s="319"/>
      <c r="K99" s="319"/>
      <c r="L99" s="319" t="s">
        <v>480</v>
      </c>
      <c r="M99" s="320"/>
      <c r="N99" s="320"/>
      <c r="O99" s="320"/>
      <c r="P99" s="320">
        <v>43753</v>
      </c>
      <c r="Q99" s="320"/>
      <c r="R99" s="320"/>
      <c r="S99" s="319"/>
      <c r="T99" s="319"/>
      <c r="U99" s="319"/>
      <c r="V99" s="319"/>
      <c r="W99" s="319"/>
      <c r="X99" s="319"/>
      <c r="Y99" s="319"/>
      <c r="Z99" s="319"/>
      <c r="AA99" s="319"/>
      <c r="AB99" s="319"/>
      <c r="AC99" s="319"/>
      <c r="AD99" s="319"/>
      <c r="AE99" s="319"/>
      <c r="AF99" s="319"/>
      <c r="AG99" s="319"/>
      <c r="AH99" s="319"/>
      <c r="AI99" s="319"/>
      <c r="AJ99" s="319"/>
      <c r="AK99" s="319"/>
      <c r="AL99" s="319"/>
      <c r="AM99" s="319"/>
      <c r="AN99" s="319"/>
      <c r="AO99" s="319"/>
      <c r="AP99" s="319"/>
      <c r="AQ99" s="319"/>
      <c r="AR99" s="319"/>
    </row>
    <row r="100" spans="1:44" ht="12.75" x14ac:dyDescent="0.2">
      <c r="A100" s="317" t="s">
        <v>528</v>
      </c>
      <c r="B100" s="318"/>
      <c r="C100" s="319" t="s">
        <v>416</v>
      </c>
      <c r="D100" s="319" t="s">
        <v>519</v>
      </c>
      <c r="E100" s="319" t="s">
        <v>36</v>
      </c>
      <c r="F100" s="319"/>
      <c r="G100" s="319"/>
      <c r="H100" s="319"/>
      <c r="I100" s="319">
        <v>1</v>
      </c>
      <c r="J100" s="319"/>
      <c r="K100" s="319"/>
      <c r="L100" s="319" t="s">
        <v>417</v>
      </c>
      <c r="M100" s="320"/>
      <c r="N100" s="320"/>
      <c r="O100" s="320"/>
      <c r="P100" s="320"/>
      <c r="Q100" s="320"/>
      <c r="R100" s="320"/>
      <c r="S100" s="319"/>
      <c r="T100" s="319"/>
      <c r="U100" s="319"/>
      <c r="V100" s="319"/>
      <c r="W100" s="319"/>
      <c r="X100" s="319"/>
      <c r="Y100" s="319"/>
      <c r="Z100" s="319"/>
      <c r="AA100" s="319"/>
      <c r="AB100" s="319"/>
      <c r="AC100" s="319"/>
      <c r="AD100" s="319"/>
      <c r="AE100" s="319"/>
      <c r="AF100" s="319"/>
      <c r="AG100" s="319"/>
      <c r="AH100" s="319"/>
      <c r="AI100" s="319"/>
      <c r="AJ100" s="319"/>
      <c r="AK100" s="319"/>
      <c r="AL100" s="319"/>
      <c r="AM100" s="319"/>
      <c r="AN100" s="319"/>
      <c r="AO100" s="319"/>
      <c r="AP100" s="319"/>
      <c r="AQ100" s="319"/>
      <c r="AR100" s="319"/>
    </row>
    <row r="101" spans="1:44" ht="12.75" x14ac:dyDescent="0.2">
      <c r="A101" s="317" t="s">
        <v>529</v>
      </c>
      <c r="B101" s="318"/>
      <c r="C101" s="319" t="s">
        <v>484</v>
      </c>
      <c r="D101" s="319" t="s">
        <v>519</v>
      </c>
      <c r="E101" s="319" t="s">
        <v>37</v>
      </c>
      <c r="F101" s="319"/>
      <c r="G101" s="319"/>
      <c r="H101" s="319"/>
      <c r="I101" s="319">
        <v>1</v>
      </c>
      <c r="J101" s="319"/>
      <c r="K101" s="319"/>
      <c r="L101" s="319"/>
      <c r="M101" s="320"/>
      <c r="N101" s="320"/>
      <c r="O101" s="320"/>
      <c r="P101" s="320"/>
      <c r="Q101" s="320"/>
      <c r="R101" s="320"/>
      <c r="S101" s="319"/>
      <c r="T101" s="319"/>
      <c r="U101" s="319"/>
      <c r="V101" s="319"/>
      <c r="W101" s="319"/>
      <c r="X101" s="319"/>
      <c r="Y101" s="319"/>
      <c r="Z101" s="319"/>
      <c r="AA101" s="319"/>
      <c r="AB101" s="319"/>
      <c r="AC101" s="319"/>
      <c r="AD101" s="319"/>
      <c r="AE101" s="319"/>
      <c r="AF101" s="319"/>
      <c r="AG101" s="319"/>
      <c r="AH101" s="319"/>
      <c r="AI101" s="319"/>
      <c r="AJ101" s="319"/>
      <c r="AK101" s="319"/>
      <c r="AL101" s="319"/>
      <c r="AM101" s="319"/>
      <c r="AN101" s="319"/>
      <c r="AO101" s="319"/>
      <c r="AP101" s="319"/>
      <c r="AQ101" s="319"/>
      <c r="AR101" s="319"/>
    </row>
    <row r="102" spans="1:44" ht="12.75" x14ac:dyDescent="0.2">
      <c r="A102" s="317" t="s">
        <v>530</v>
      </c>
      <c r="B102" s="318"/>
      <c r="C102" s="319" t="s">
        <v>484</v>
      </c>
      <c r="D102" s="319" t="s">
        <v>519</v>
      </c>
      <c r="E102" s="319" t="s">
        <v>41</v>
      </c>
      <c r="F102" s="319"/>
      <c r="G102" s="319"/>
      <c r="H102" s="319"/>
      <c r="I102" s="319">
        <v>1</v>
      </c>
      <c r="J102" s="319"/>
      <c r="K102" s="319"/>
      <c r="L102" s="319"/>
      <c r="M102" s="320"/>
      <c r="N102" s="320"/>
      <c r="O102" s="320"/>
      <c r="P102" s="320"/>
      <c r="Q102" s="320"/>
      <c r="R102" s="320"/>
      <c r="S102" s="319"/>
      <c r="T102" s="319"/>
      <c r="U102" s="319"/>
      <c r="V102" s="319"/>
      <c r="W102" s="319"/>
      <c r="X102" s="319"/>
      <c r="Y102" s="319"/>
      <c r="Z102" s="319"/>
      <c r="AA102" s="319"/>
      <c r="AB102" s="319"/>
      <c r="AC102" s="319"/>
      <c r="AD102" s="319"/>
      <c r="AE102" s="319"/>
      <c r="AF102" s="319"/>
      <c r="AG102" s="319"/>
      <c r="AH102" s="319"/>
      <c r="AI102" s="319"/>
      <c r="AJ102" s="319"/>
      <c r="AK102" s="319"/>
      <c r="AL102" s="319"/>
      <c r="AM102" s="319"/>
      <c r="AN102" s="319"/>
      <c r="AO102" s="319"/>
      <c r="AP102" s="319"/>
      <c r="AQ102" s="319"/>
      <c r="AR102" s="319"/>
    </row>
    <row r="103" spans="1:44" ht="12.75" x14ac:dyDescent="0.2">
      <c r="A103" s="317" t="s">
        <v>531</v>
      </c>
      <c r="B103" s="318"/>
      <c r="C103" s="319" t="s">
        <v>403</v>
      </c>
      <c r="D103" s="319" t="s">
        <v>532</v>
      </c>
      <c r="E103" s="319" t="s">
        <v>40</v>
      </c>
      <c r="F103" s="319">
        <v>0.25</v>
      </c>
      <c r="G103" s="319">
        <v>1.57</v>
      </c>
      <c r="H103" s="319">
        <v>0.48</v>
      </c>
      <c r="I103" s="319">
        <v>1</v>
      </c>
      <c r="J103" s="319" t="s">
        <v>449</v>
      </c>
      <c r="K103" s="319"/>
      <c r="L103" s="319" t="s">
        <v>450</v>
      </c>
      <c r="M103" s="320"/>
      <c r="N103" s="320"/>
      <c r="O103" s="320"/>
      <c r="P103" s="320"/>
      <c r="Q103" s="320"/>
      <c r="R103" s="320"/>
      <c r="S103" s="319"/>
      <c r="T103" s="319"/>
      <c r="U103" s="319"/>
      <c r="V103" s="319"/>
      <c r="W103" s="319"/>
      <c r="X103" s="319"/>
      <c r="Y103" s="319"/>
      <c r="Z103" s="319"/>
      <c r="AA103" s="319"/>
      <c r="AB103" s="319"/>
      <c r="AC103" s="319"/>
      <c r="AD103" s="319"/>
      <c r="AE103" s="319"/>
      <c r="AF103" s="319"/>
      <c r="AG103" s="319"/>
      <c r="AH103" s="319"/>
      <c r="AI103" s="319"/>
      <c r="AJ103" s="319"/>
      <c r="AK103" s="319"/>
      <c r="AL103" s="319"/>
      <c r="AM103" s="319"/>
      <c r="AN103" s="319"/>
      <c r="AO103" s="319"/>
      <c r="AP103" s="319"/>
      <c r="AQ103" s="319"/>
      <c r="AR103" s="319"/>
    </row>
    <row r="104" spans="1:44" ht="12.75" x14ac:dyDescent="0.2">
      <c r="A104" s="317" t="s">
        <v>533</v>
      </c>
      <c r="B104" s="318"/>
      <c r="C104" s="319" t="s">
        <v>416</v>
      </c>
      <c r="D104" s="319" t="s">
        <v>532</v>
      </c>
      <c r="E104" s="319" t="s">
        <v>36</v>
      </c>
      <c r="F104" s="319"/>
      <c r="G104" s="319"/>
      <c r="H104" s="319"/>
      <c r="I104" s="319">
        <v>1</v>
      </c>
      <c r="J104" s="319"/>
      <c r="K104" s="319"/>
      <c r="L104" s="319" t="s">
        <v>417</v>
      </c>
      <c r="M104" s="320"/>
      <c r="N104" s="320"/>
      <c r="O104" s="320"/>
      <c r="P104" s="320"/>
      <c r="Q104" s="320"/>
      <c r="R104" s="320"/>
      <c r="S104" s="319"/>
      <c r="T104" s="319"/>
      <c r="U104" s="319"/>
      <c r="V104" s="319"/>
      <c r="W104" s="319"/>
      <c r="X104" s="319"/>
      <c r="Y104" s="319"/>
      <c r="Z104" s="319"/>
      <c r="AA104" s="319"/>
      <c r="AB104" s="319"/>
      <c r="AC104" s="319"/>
      <c r="AD104" s="319"/>
      <c r="AE104" s="319"/>
      <c r="AF104" s="319"/>
      <c r="AG104" s="319"/>
      <c r="AH104" s="319"/>
      <c r="AI104" s="319"/>
      <c r="AJ104" s="319"/>
      <c r="AK104" s="319"/>
      <c r="AL104" s="319"/>
      <c r="AM104" s="319"/>
      <c r="AN104" s="319"/>
      <c r="AO104" s="319"/>
      <c r="AP104" s="319"/>
      <c r="AQ104" s="319"/>
      <c r="AR104" s="319"/>
    </row>
    <row r="105" spans="1:44" ht="12.75" x14ac:dyDescent="0.2">
      <c r="A105" s="317" t="s">
        <v>534</v>
      </c>
      <c r="B105" s="318"/>
      <c r="C105" s="319" t="s">
        <v>484</v>
      </c>
      <c r="D105" s="319" t="s">
        <v>532</v>
      </c>
      <c r="E105" s="319" t="s">
        <v>37</v>
      </c>
      <c r="F105" s="319"/>
      <c r="G105" s="319"/>
      <c r="H105" s="319"/>
      <c r="I105" s="319">
        <v>1</v>
      </c>
      <c r="J105" s="319"/>
      <c r="K105" s="319"/>
      <c r="L105" s="319"/>
      <c r="M105" s="320"/>
      <c r="N105" s="320"/>
      <c r="O105" s="320"/>
      <c r="P105" s="320"/>
      <c r="Q105" s="320"/>
      <c r="R105" s="320"/>
      <c r="S105" s="319"/>
      <c r="T105" s="319"/>
      <c r="U105" s="319"/>
      <c r="V105" s="319"/>
      <c r="W105" s="319"/>
      <c r="X105" s="319"/>
      <c r="Y105" s="319"/>
      <c r="Z105" s="319"/>
      <c r="AA105" s="319"/>
      <c r="AB105" s="319"/>
      <c r="AC105" s="319"/>
      <c r="AD105" s="319"/>
      <c r="AE105" s="319"/>
      <c r="AF105" s="319"/>
      <c r="AG105" s="319"/>
      <c r="AH105" s="319"/>
      <c r="AI105" s="319"/>
      <c r="AJ105" s="319"/>
      <c r="AK105" s="319"/>
      <c r="AL105" s="319"/>
      <c r="AM105" s="319"/>
      <c r="AN105" s="319"/>
      <c r="AO105" s="319"/>
      <c r="AP105" s="319"/>
      <c r="AQ105" s="319"/>
      <c r="AR105" s="319"/>
    </row>
    <row r="106" spans="1:44" ht="12.75" x14ac:dyDescent="0.2">
      <c r="A106" s="317" t="s">
        <v>535</v>
      </c>
      <c r="B106" s="318"/>
      <c r="C106" s="319" t="s">
        <v>484</v>
      </c>
      <c r="D106" s="319" t="s">
        <v>532</v>
      </c>
      <c r="E106" s="319" t="s">
        <v>42</v>
      </c>
      <c r="F106" s="319"/>
      <c r="G106" s="319"/>
      <c r="H106" s="319"/>
      <c r="I106" s="319">
        <v>1</v>
      </c>
      <c r="J106" s="319"/>
      <c r="K106" s="319"/>
      <c r="L106" s="319"/>
      <c r="M106" s="320"/>
      <c r="N106" s="320"/>
      <c r="O106" s="320"/>
      <c r="P106" s="320"/>
      <c r="Q106" s="320"/>
      <c r="R106" s="320"/>
      <c r="S106" s="319"/>
      <c r="T106" s="319"/>
      <c r="U106" s="319"/>
      <c r="V106" s="319"/>
      <c r="W106" s="319"/>
      <c r="X106" s="319"/>
      <c r="Y106" s="319"/>
      <c r="Z106" s="319"/>
      <c r="AA106" s="319"/>
      <c r="AB106" s="319"/>
      <c r="AC106" s="319"/>
      <c r="AD106" s="319"/>
      <c r="AE106" s="319"/>
      <c r="AF106" s="319"/>
      <c r="AG106" s="319"/>
      <c r="AH106" s="319"/>
      <c r="AI106" s="319"/>
      <c r="AJ106" s="319"/>
      <c r="AK106" s="319"/>
      <c r="AL106" s="319"/>
      <c r="AM106" s="319"/>
      <c r="AN106" s="319"/>
      <c r="AO106" s="319"/>
      <c r="AP106" s="319"/>
      <c r="AQ106" s="319"/>
      <c r="AR106" s="319"/>
    </row>
    <row r="107" spans="1:44" ht="12.75" x14ac:dyDescent="0.2">
      <c r="A107" s="317" t="s">
        <v>536</v>
      </c>
      <c r="B107" s="318"/>
      <c r="C107" s="319" t="s">
        <v>484</v>
      </c>
      <c r="D107" s="319" t="s">
        <v>532</v>
      </c>
      <c r="E107" s="319" t="s">
        <v>46</v>
      </c>
      <c r="F107" s="319"/>
      <c r="G107" s="319"/>
      <c r="H107" s="319"/>
      <c r="I107" s="319">
        <v>1</v>
      </c>
      <c r="J107" s="319"/>
      <c r="K107" s="319"/>
      <c r="L107" s="319"/>
      <c r="M107" s="320"/>
      <c r="N107" s="320"/>
      <c r="O107" s="320"/>
      <c r="P107" s="320"/>
      <c r="Q107" s="320"/>
      <c r="R107" s="320"/>
      <c r="S107" s="319"/>
      <c r="T107" s="319"/>
      <c r="U107" s="319"/>
      <c r="V107" s="319"/>
      <c r="W107" s="319"/>
      <c r="X107" s="319"/>
      <c r="Y107" s="319"/>
      <c r="Z107" s="319"/>
      <c r="AA107" s="319"/>
      <c r="AB107" s="319"/>
      <c r="AC107" s="319"/>
      <c r="AD107" s="319"/>
      <c r="AE107" s="319"/>
      <c r="AF107" s="319"/>
      <c r="AG107" s="319"/>
      <c r="AH107" s="319"/>
      <c r="AI107" s="319"/>
      <c r="AJ107" s="319"/>
      <c r="AK107" s="319"/>
      <c r="AL107" s="319"/>
      <c r="AM107" s="319"/>
      <c r="AN107" s="319"/>
      <c r="AO107" s="319"/>
      <c r="AP107" s="319"/>
      <c r="AQ107" s="319"/>
      <c r="AR107" s="319"/>
    </row>
    <row r="108" spans="1:44" ht="12.75" x14ac:dyDescent="0.2">
      <c r="A108" s="317" t="s">
        <v>537</v>
      </c>
      <c r="B108" s="318"/>
      <c r="C108" s="319" t="s">
        <v>484</v>
      </c>
      <c r="D108" s="319" t="s">
        <v>532</v>
      </c>
      <c r="E108" s="319" t="s">
        <v>47</v>
      </c>
      <c r="F108" s="319"/>
      <c r="G108" s="319"/>
      <c r="H108" s="319"/>
      <c r="I108" s="319">
        <v>1</v>
      </c>
      <c r="J108" s="319"/>
      <c r="K108" s="319"/>
      <c r="L108" s="319"/>
      <c r="M108" s="320"/>
      <c r="N108" s="320"/>
      <c r="O108" s="320"/>
      <c r="P108" s="320"/>
      <c r="Q108" s="320"/>
      <c r="R108" s="320"/>
      <c r="S108" s="319"/>
      <c r="T108" s="319"/>
      <c r="U108" s="319"/>
      <c r="V108" s="319"/>
      <c r="W108" s="319"/>
      <c r="X108" s="319"/>
      <c r="Y108" s="319"/>
      <c r="Z108" s="319"/>
      <c r="AA108" s="319"/>
      <c r="AB108" s="319"/>
      <c r="AC108" s="319"/>
      <c r="AD108" s="319"/>
      <c r="AE108" s="319"/>
      <c r="AF108" s="319"/>
      <c r="AG108" s="319"/>
      <c r="AH108" s="319"/>
      <c r="AI108" s="319"/>
      <c r="AJ108" s="319"/>
      <c r="AK108" s="319"/>
      <c r="AL108" s="319"/>
      <c r="AM108" s="319"/>
      <c r="AN108" s="319"/>
      <c r="AO108" s="319"/>
      <c r="AP108" s="319"/>
      <c r="AQ108" s="319"/>
      <c r="AR108" s="319"/>
    </row>
    <row r="109" spans="1:44" ht="12.75" x14ac:dyDescent="0.2">
      <c r="A109" s="317" t="s">
        <v>538</v>
      </c>
      <c r="B109" s="318"/>
      <c r="C109" s="319" t="s">
        <v>484</v>
      </c>
      <c r="D109" s="319" t="s">
        <v>532</v>
      </c>
      <c r="E109" s="319" t="s">
        <v>50</v>
      </c>
      <c r="F109" s="319"/>
      <c r="G109" s="319"/>
      <c r="H109" s="319"/>
      <c r="I109" s="319">
        <v>1</v>
      </c>
      <c r="J109" s="319"/>
      <c r="K109" s="319"/>
      <c r="L109" s="319"/>
      <c r="M109" s="320"/>
      <c r="N109" s="320"/>
      <c r="O109" s="320"/>
      <c r="P109" s="320"/>
      <c r="Q109" s="320"/>
      <c r="R109" s="320"/>
      <c r="S109" s="319"/>
      <c r="T109" s="319"/>
      <c r="U109" s="319"/>
      <c r="V109" s="319"/>
      <c r="W109" s="319"/>
      <c r="X109" s="319"/>
      <c r="Y109" s="319"/>
      <c r="Z109" s="319"/>
      <c r="AA109" s="319"/>
      <c r="AB109" s="319"/>
      <c r="AC109" s="319"/>
      <c r="AD109" s="319"/>
      <c r="AE109" s="319"/>
      <c r="AF109" s="319"/>
      <c r="AG109" s="319"/>
      <c r="AH109" s="319"/>
      <c r="AI109" s="319"/>
      <c r="AJ109" s="319"/>
      <c r="AK109" s="319"/>
      <c r="AL109" s="319"/>
      <c r="AM109" s="319"/>
      <c r="AN109" s="319"/>
      <c r="AO109" s="319"/>
      <c r="AP109" s="319"/>
      <c r="AQ109" s="319"/>
      <c r="AR109" s="319"/>
    </row>
    <row r="110" spans="1:44" ht="12.75" x14ac:dyDescent="0.2">
      <c r="A110" s="317" t="s">
        <v>539</v>
      </c>
      <c r="B110" s="318"/>
      <c r="C110" s="319" t="s">
        <v>484</v>
      </c>
      <c r="D110" s="319" t="s">
        <v>532</v>
      </c>
      <c r="E110" s="319" t="s">
        <v>54</v>
      </c>
      <c r="F110" s="319"/>
      <c r="G110" s="319"/>
      <c r="H110" s="319"/>
      <c r="I110" s="319">
        <v>1</v>
      </c>
      <c r="J110" s="319"/>
      <c r="K110" s="319"/>
      <c r="L110" s="319"/>
      <c r="M110" s="320"/>
      <c r="N110" s="320"/>
      <c r="O110" s="320"/>
      <c r="P110" s="320"/>
      <c r="Q110" s="320"/>
      <c r="R110" s="320"/>
      <c r="S110" s="319"/>
      <c r="T110" s="319"/>
      <c r="U110" s="319"/>
      <c r="V110" s="319"/>
      <c r="W110" s="319"/>
      <c r="X110" s="319"/>
      <c r="Y110" s="319"/>
      <c r="Z110" s="319"/>
      <c r="AA110" s="319"/>
      <c r="AB110" s="319"/>
      <c r="AC110" s="319"/>
      <c r="AD110" s="319"/>
      <c r="AE110" s="319"/>
      <c r="AF110" s="319"/>
      <c r="AG110" s="319"/>
      <c r="AH110" s="319"/>
      <c r="AI110" s="319"/>
      <c r="AJ110" s="319"/>
      <c r="AK110" s="319"/>
      <c r="AL110" s="319"/>
      <c r="AM110" s="319"/>
      <c r="AN110" s="319"/>
      <c r="AO110" s="319"/>
      <c r="AP110" s="319"/>
      <c r="AQ110" s="319"/>
      <c r="AR110" s="319"/>
    </row>
    <row r="111" spans="1:44" ht="12.75" x14ac:dyDescent="0.2">
      <c r="A111" s="317" t="s">
        <v>540</v>
      </c>
      <c r="B111" s="318"/>
      <c r="C111" s="319" t="s">
        <v>484</v>
      </c>
      <c r="D111" s="319" t="s">
        <v>532</v>
      </c>
      <c r="E111" s="319" t="s">
        <v>55</v>
      </c>
      <c r="F111" s="319"/>
      <c r="G111" s="319"/>
      <c r="H111" s="319"/>
      <c r="I111" s="319">
        <v>1</v>
      </c>
      <c r="J111" s="319"/>
      <c r="K111" s="319"/>
      <c r="L111" s="319"/>
      <c r="M111" s="320"/>
      <c r="N111" s="320"/>
      <c r="O111" s="320"/>
      <c r="P111" s="320"/>
      <c r="Q111" s="320"/>
      <c r="R111" s="320"/>
      <c r="S111" s="319"/>
      <c r="T111" s="319"/>
      <c r="U111" s="319"/>
      <c r="V111" s="319"/>
      <c r="W111" s="319"/>
      <c r="X111" s="319"/>
      <c r="Y111" s="319"/>
      <c r="Z111" s="319"/>
      <c r="AA111" s="319"/>
      <c r="AB111" s="319"/>
      <c r="AC111" s="319"/>
      <c r="AD111" s="319"/>
      <c r="AE111" s="319"/>
      <c r="AF111" s="319"/>
      <c r="AG111" s="319"/>
      <c r="AH111" s="319"/>
      <c r="AI111" s="319"/>
      <c r="AJ111" s="319"/>
      <c r="AK111" s="319"/>
      <c r="AL111" s="319"/>
      <c r="AM111" s="319"/>
      <c r="AN111" s="319"/>
      <c r="AO111" s="319"/>
      <c r="AP111" s="319"/>
      <c r="AQ111" s="319"/>
      <c r="AR111" s="319"/>
    </row>
    <row r="112" spans="1:44" ht="12.75" x14ac:dyDescent="0.2">
      <c r="A112" s="317" t="s">
        <v>541</v>
      </c>
      <c r="B112" s="318"/>
      <c r="C112" s="319" t="s">
        <v>484</v>
      </c>
      <c r="D112" s="319" t="s">
        <v>532</v>
      </c>
      <c r="E112" s="319" t="s">
        <v>246</v>
      </c>
      <c r="F112" s="319"/>
      <c r="G112" s="319"/>
      <c r="H112" s="319"/>
      <c r="I112" s="319">
        <v>1</v>
      </c>
      <c r="J112" s="319"/>
      <c r="K112" s="319"/>
      <c r="L112" s="319"/>
      <c r="M112" s="320"/>
      <c r="N112" s="320"/>
      <c r="O112" s="320"/>
      <c r="P112" s="320"/>
      <c r="Q112" s="320"/>
      <c r="R112" s="320"/>
      <c r="S112" s="319"/>
      <c r="T112" s="319"/>
      <c r="U112" s="319"/>
      <c r="V112" s="319"/>
      <c r="W112" s="319"/>
      <c r="X112" s="319"/>
      <c r="Y112" s="319"/>
      <c r="Z112" s="319"/>
      <c r="AA112" s="319"/>
      <c r="AB112" s="319"/>
      <c r="AC112" s="319"/>
      <c r="AD112" s="319"/>
      <c r="AE112" s="319"/>
      <c r="AF112" s="319"/>
      <c r="AG112" s="319"/>
      <c r="AH112" s="319"/>
      <c r="AI112" s="319"/>
      <c r="AJ112" s="319"/>
      <c r="AK112" s="319"/>
      <c r="AL112" s="319"/>
      <c r="AM112" s="319"/>
      <c r="AN112" s="319"/>
      <c r="AO112" s="319"/>
      <c r="AP112" s="319"/>
      <c r="AQ112" s="319"/>
      <c r="AR112" s="319"/>
    </row>
    <row r="113" spans="1:44" ht="12.75" x14ac:dyDescent="0.2">
      <c r="A113" s="307" t="s">
        <v>542</v>
      </c>
      <c r="B113" s="308">
        <v>0</v>
      </c>
      <c r="C113" s="309" t="s">
        <v>543</v>
      </c>
      <c r="D113" s="309" t="s">
        <v>407</v>
      </c>
      <c r="E113" s="309" t="s">
        <v>11</v>
      </c>
      <c r="F113" s="309">
        <v>0.44400000000000001</v>
      </c>
      <c r="G113" s="309">
        <v>1.78</v>
      </c>
      <c r="H113" s="309">
        <v>0.78</v>
      </c>
      <c r="I113" s="309"/>
      <c r="J113" s="309" t="s">
        <v>421</v>
      </c>
      <c r="K113" s="309"/>
      <c r="L113" s="309" t="s">
        <v>422</v>
      </c>
      <c r="M113" s="310"/>
      <c r="N113" s="310"/>
      <c r="O113" s="310"/>
      <c r="P113" s="310"/>
      <c r="Q113" s="310"/>
      <c r="R113" s="310"/>
      <c r="S113" s="309"/>
      <c r="T113" s="309"/>
      <c r="U113" s="309"/>
      <c r="V113" s="309"/>
      <c r="W113" s="309"/>
      <c r="X113" s="309"/>
      <c r="Y113" s="309"/>
      <c r="Z113" s="309"/>
      <c r="AA113" s="309"/>
      <c r="AB113" s="309"/>
      <c r="AC113" s="309"/>
      <c r="AD113" s="309"/>
      <c r="AE113" s="309"/>
      <c r="AF113" s="309"/>
      <c r="AG113" s="309"/>
      <c r="AH113" s="309"/>
      <c r="AI113" s="309"/>
      <c r="AJ113" s="309"/>
      <c r="AK113" s="309"/>
      <c r="AL113" s="309"/>
      <c r="AM113" s="309"/>
      <c r="AN113" s="309"/>
      <c r="AO113" s="309"/>
      <c r="AP113" s="309"/>
      <c r="AQ113" s="309"/>
      <c r="AR113" s="309"/>
    </row>
    <row r="114" spans="1:44" ht="12.75" x14ac:dyDescent="0.2">
      <c r="A114" s="304" t="s">
        <v>544</v>
      </c>
      <c r="B114" s="305"/>
      <c r="C114" s="200" t="s">
        <v>366</v>
      </c>
      <c r="D114" s="313" t="s">
        <v>545</v>
      </c>
      <c r="E114" s="200" t="s">
        <v>424</v>
      </c>
      <c r="F114" s="200">
        <v>0.44</v>
      </c>
      <c r="G114" s="200">
        <v>1.38</v>
      </c>
      <c r="H114" s="200">
        <v>0.79</v>
      </c>
      <c r="J114" s="200" t="s">
        <v>460</v>
      </c>
      <c r="K114" s="200"/>
      <c r="L114" s="200" t="s">
        <v>425</v>
      </c>
      <c r="M114" s="306"/>
      <c r="N114" s="306"/>
      <c r="O114" s="306"/>
      <c r="P114" s="306"/>
      <c r="Q114" s="306"/>
      <c r="R114" s="306"/>
    </row>
    <row r="115" spans="1:44" ht="12.75" x14ac:dyDescent="0.2">
      <c r="A115" s="307" t="s">
        <v>546</v>
      </c>
      <c r="B115" s="308">
        <v>46.65</v>
      </c>
      <c r="C115" s="309"/>
      <c r="D115" s="309" t="s">
        <v>407</v>
      </c>
      <c r="E115" s="309" t="s">
        <v>27</v>
      </c>
      <c r="F115" s="309">
        <v>0.44800000000000001</v>
      </c>
      <c r="G115" s="309">
        <v>1.67</v>
      </c>
      <c r="H115" s="309">
        <v>0.8</v>
      </c>
      <c r="I115" s="309"/>
      <c r="J115" s="309" t="s">
        <v>492</v>
      </c>
      <c r="K115" s="309"/>
      <c r="L115" s="309" t="s">
        <v>428</v>
      </c>
      <c r="M115" s="310"/>
      <c r="N115" s="310"/>
      <c r="O115" s="310"/>
      <c r="P115" s="310"/>
      <c r="Q115" s="310"/>
      <c r="R115" s="310"/>
      <c r="S115" s="309"/>
      <c r="T115" s="309"/>
      <c r="U115" s="309"/>
      <c r="V115" s="309"/>
      <c r="W115" s="309"/>
      <c r="X115" s="309"/>
      <c r="Y115" s="309"/>
      <c r="Z115" s="309"/>
      <c r="AA115" s="309"/>
      <c r="AB115" s="309"/>
      <c r="AC115" s="309"/>
      <c r="AD115" s="309"/>
      <c r="AE115" s="309"/>
      <c r="AF115" s="309"/>
      <c r="AG115" s="309"/>
      <c r="AH115" s="309"/>
      <c r="AI115" s="309"/>
      <c r="AJ115" s="309"/>
      <c r="AK115" s="309"/>
      <c r="AL115" s="309"/>
      <c r="AM115" s="309"/>
      <c r="AN115" s="309"/>
      <c r="AO115" s="309"/>
      <c r="AP115" s="309"/>
      <c r="AQ115" s="309"/>
      <c r="AR115" s="309"/>
    </row>
    <row r="116" spans="1:44" ht="12.75" x14ac:dyDescent="0.2">
      <c r="A116" s="304" t="s">
        <v>547</v>
      </c>
      <c r="B116" s="305"/>
      <c r="C116" s="200" t="s">
        <v>366</v>
      </c>
      <c r="D116" s="313" t="s">
        <v>407</v>
      </c>
      <c r="E116" s="200" t="s">
        <v>28</v>
      </c>
      <c r="F116" s="200">
        <v>0.38800000000000001</v>
      </c>
      <c r="G116" s="200">
        <v>1.71</v>
      </c>
      <c r="H116" s="200">
        <v>0.625</v>
      </c>
      <c r="J116" s="200" t="s">
        <v>430</v>
      </c>
      <c r="K116" s="200"/>
      <c r="L116" s="200" t="s">
        <v>431</v>
      </c>
      <c r="M116" s="306"/>
      <c r="N116" s="306"/>
      <c r="O116" s="306"/>
      <c r="P116" s="306"/>
      <c r="Q116" s="306"/>
      <c r="R116" s="306"/>
    </row>
    <row r="117" spans="1:44" ht="12.75" x14ac:dyDescent="0.2">
      <c r="A117" s="304" t="s">
        <v>548</v>
      </c>
      <c r="B117" s="305"/>
      <c r="C117" s="200" t="s">
        <v>366</v>
      </c>
      <c r="D117" s="313" t="s">
        <v>407</v>
      </c>
      <c r="E117" s="200" t="s">
        <v>29</v>
      </c>
      <c r="F117" s="200">
        <v>0.38300000000000001</v>
      </c>
      <c r="G117" s="200">
        <v>1.57</v>
      </c>
      <c r="H117" s="200">
        <v>0.67</v>
      </c>
      <c r="J117" s="200" t="s">
        <v>470</v>
      </c>
      <c r="K117" s="200"/>
      <c r="L117" s="200" t="s">
        <v>434</v>
      </c>
      <c r="M117" s="306"/>
      <c r="N117" s="306"/>
      <c r="O117" s="306"/>
      <c r="P117" s="306"/>
      <c r="Q117" s="306"/>
      <c r="R117" s="306"/>
    </row>
    <row r="118" spans="1:44" ht="12.75" x14ac:dyDescent="0.2">
      <c r="A118" s="304" t="s">
        <v>549</v>
      </c>
      <c r="B118" s="305"/>
      <c r="C118" s="200" t="s">
        <v>366</v>
      </c>
      <c r="D118" s="313" t="s">
        <v>407</v>
      </c>
      <c r="E118" s="200" t="s">
        <v>30</v>
      </c>
      <c r="F118" s="200">
        <v>0.38300000000000001</v>
      </c>
      <c r="G118" s="200">
        <v>1.96</v>
      </c>
      <c r="H118" s="200">
        <v>0.65</v>
      </c>
      <c r="J118" s="200" t="s">
        <v>436</v>
      </c>
      <c r="K118" s="200"/>
      <c r="L118" s="200" t="s">
        <v>437</v>
      </c>
      <c r="M118" s="306"/>
      <c r="N118" s="306"/>
      <c r="O118" s="306"/>
      <c r="P118" s="306"/>
      <c r="Q118" s="306"/>
      <c r="R118" s="306"/>
    </row>
    <row r="119" spans="1:44" ht="12.75" x14ac:dyDescent="0.2">
      <c r="A119" s="304" t="s">
        <v>550</v>
      </c>
      <c r="B119" s="305"/>
      <c r="C119" s="200" t="s">
        <v>366</v>
      </c>
      <c r="D119" s="313" t="s">
        <v>407</v>
      </c>
      <c r="E119" s="200" t="s">
        <v>31</v>
      </c>
      <c r="F119" s="200">
        <v>0.317</v>
      </c>
      <c r="G119" s="200">
        <v>1.66</v>
      </c>
      <c r="H119" s="200">
        <v>0.625</v>
      </c>
      <c r="J119" s="200" t="s">
        <v>473</v>
      </c>
      <c r="K119" s="200"/>
      <c r="L119" s="200" t="s">
        <v>439</v>
      </c>
      <c r="M119" s="306"/>
      <c r="N119" s="306"/>
      <c r="O119" s="306"/>
      <c r="P119" s="306"/>
      <c r="Q119" s="306"/>
      <c r="R119" s="306"/>
    </row>
    <row r="120" spans="1:44" ht="12.75" x14ac:dyDescent="0.2">
      <c r="A120" s="307" t="s">
        <v>551</v>
      </c>
      <c r="B120" s="308">
        <v>46.65</v>
      </c>
      <c r="C120" s="309"/>
      <c r="D120" s="309" t="s">
        <v>407</v>
      </c>
      <c r="E120" s="309" t="s">
        <v>34</v>
      </c>
      <c r="F120" s="309">
        <v>0.25</v>
      </c>
      <c r="G120" s="309">
        <v>1.31</v>
      </c>
      <c r="H120" s="309">
        <v>0.6</v>
      </c>
      <c r="I120" s="309"/>
      <c r="J120" s="309" t="s">
        <v>552</v>
      </c>
      <c r="K120" s="309"/>
      <c r="L120" s="309" t="s">
        <v>450</v>
      </c>
      <c r="M120" s="310"/>
      <c r="N120" s="310"/>
      <c r="O120" s="310"/>
      <c r="P120" s="310"/>
      <c r="Q120" s="310"/>
      <c r="R120" s="310"/>
      <c r="S120" s="309"/>
      <c r="T120" s="309"/>
      <c r="U120" s="309"/>
      <c r="V120" s="309"/>
      <c r="W120" s="309"/>
      <c r="X120" s="309"/>
      <c r="Y120" s="309"/>
      <c r="Z120" s="309"/>
      <c r="AA120" s="309"/>
      <c r="AB120" s="309"/>
      <c r="AC120" s="309"/>
      <c r="AD120" s="309"/>
      <c r="AE120" s="309"/>
      <c r="AF120" s="309"/>
      <c r="AG120" s="309"/>
      <c r="AH120" s="309"/>
      <c r="AI120" s="309"/>
      <c r="AJ120" s="309"/>
      <c r="AK120" s="309"/>
      <c r="AL120" s="309"/>
      <c r="AM120" s="309"/>
      <c r="AN120" s="309"/>
      <c r="AO120" s="309"/>
      <c r="AP120" s="309"/>
      <c r="AQ120" s="309"/>
      <c r="AR120" s="309"/>
    </row>
    <row r="121" spans="1:44" ht="12.75" x14ac:dyDescent="0.2">
      <c r="A121" s="304" t="s">
        <v>553</v>
      </c>
      <c r="B121" s="305"/>
      <c r="C121" s="200" t="s">
        <v>484</v>
      </c>
      <c r="D121" s="200" t="s">
        <v>407</v>
      </c>
      <c r="E121" s="200" t="s">
        <v>46</v>
      </c>
      <c r="F121" s="200"/>
      <c r="G121" s="200"/>
      <c r="H121" s="200"/>
      <c r="I121" s="200">
        <v>1</v>
      </c>
      <c r="M121" s="306"/>
      <c r="N121" s="306"/>
      <c r="O121" s="306"/>
      <c r="P121" s="306"/>
      <c r="Q121" s="306"/>
      <c r="R121" s="306"/>
    </row>
    <row r="122" spans="1:44" ht="12.75" x14ac:dyDescent="0.2">
      <c r="A122" s="304" t="s">
        <v>554</v>
      </c>
      <c r="B122" s="305"/>
      <c r="C122" s="200" t="s">
        <v>484</v>
      </c>
      <c r="D122" s="200" t="s">
        <v>407</v>
      </c>
      <c r="E122" s="200" t="s">
        <v>47</v>
      </c>
      <c r="F122" s="200"/>
      <c r="G122" s="200"/>
      <c r="H122" s="200"/>
      <c r="I122" s="200">
        <v>1</v>
      </c>
      <c r="M122" s="306"/>
      <c r="N122" s="306"/>
      <c r="O122" s="306"/>
      <c r="P122" s="306"/>
      <c r="Q122" s="306"/>
      <c r="R122" s="306"/>
    </row>
    <row r="123" spans="1:44" ht="12.75" x14ac:dyDescent="0.2">
      <c r="A123" s="304" t="s">
        <v>555</v>
      </c>
      <c r="B123" s="305"/>
      <c r="C123" s="200" t="s">
        <v>484</v>
      </c>
      <c r="D123" s="200" t="s">
        <v>407</v>
      </c>
      <c r="E123" s="200" t="s">
        <v>50</v>
      </c>
      <c r="F123" s="200"/>
      <c r="G123" s="200"/>
      <c r="H123" s="200"/>
      <c r="I123" s="200">
        <v>1</v>
      </c>
      <c r="M123" s="306"/>
      <c r="N123" s="306"/>
      <c r="O123" s="306"/>
      <c r="P123" s="306"/>
      <c r="Q123" s="306"/>
      <c r="R123" s="306"/>
    </row>
    <row r="124" spans="1:44" ht="12.75" x14ac:dyDescent="0.2">
      <c r="A124" s="304" t="s">
        <v>556</v>
      </c>
      <c r="B124" s="305"/>
      <c r="C124" s="200" t="s">
        <v>484</v>
      </c>
      <c r="D124" s="200" t="s">
        <v>407</v>
      </c>
      <c r="E124" s="200" t="s">
        <v>54</v>
      </c>
      <c r="F124" s="200"/>
      <c r="G124" s="200"/>
      <c r="H124" s="200"/>
      <c r="I124" s="200">
        <v>1</v>
      </c>
      <c r="M124" s="306"/>
      <c r="N124" s="306"/>
      <c r="O124" s="306"/>
      <c r="P124" s="306"/>
      <c r="Q124" s="306"/>
      <c r="R124" s="306"/>
    </row>
    <row r="125" spans="1:44" ht="12.75" x14ac:dyDescent="0.2">
      <c r="A125" s="317" t="s">
        <v>557</v>
      </c>
      <c r="B125" s="318"/>
      <c r="C125" s="319" t="s">
        <v>441</v>
      </c>
      <c r="D125" s="319" t="s">
        <v>558</v>
      </c>
      <c r="E125" s="319" t="s">
        <v>40</v>
      </c>
      <c r="F125" s="319">
        <v>0.26400000000000001</v>
      </c>
      <c r="G125" s="319">
        <v>1.81</v>
      </c>
      <c r="H125" s="319">
        <v>0.51</v>
      </c>
      <c r="I125" s="319"/>
      <c r="J125" s="319" t="s">
        <v>449</v>
      </c>
      <c r="K125" s="319"/>
      <c r="L125" s="319" t="s">
        <v>450</v>
      </c>
      <c r="M125" s="320"/>
      <c r="N125" s="320"/>
      <c r="O125" s="320"/>
      <c r="P125" s="320"/>
      <c r="Q125" s="320"/>
      <c r="R125" s="320"/>
      <c r="S125" s="319"/>
      <c r="T125" s="319"/>
      <c r="U125" s="319"/>
      <c r="V125" s="319"/>
      <c r="W125" s="319"/>
      <c r="X125" s="319"/>
      <c r="Y125" s="319"/>
      <c r="Z125" s="319"/>
      <c r="AA125" s="319"/>
      <c r="AB125" s="319"/>
      <c r="AC125" s="319"/>
      <c r="AD125" s="319"/>
      <c r="AE125" s="319"/>
      <c r="AF125" s="319"/>
      <c r="AG125" s="319"/>
      <c r="AH125" s="319"/>
      <c r="AI125" s="319"/>
      <c r="AJ125" s="319"/>
      <c r="AK125" s="319"/>
      <c r="AL125" s="319"/>
      <c r="AM125" s="319"/>
      <c r="AN125" s="319"/>
      <c r="AO125" s="319"/>
      <c r="AP125" s="319"/>
      <c r="AQ125" s="319"/>
      <c r="AR125" s="319"/>
    </row>
    <row r="126" spans="1:44" ht="12.75" x14ac:dyDescent="0.2">
      <c r="A126" s="307" t="s">
        <v>559</v>
      </c>
      <c r="B126" s="308">
        <v>0</v>
      </c>
      <c r="C126" s="309"/>
      <c r="D126" s="309" t="s">
        <v>558</v>
      </c>
      <c r="E126" s="309" t="s">
        <v>29</v>
      </c>
      <c r="F126" s="309">
        <v>0.38700000000000001</v>
      </c>
      <c r="G126" s="309">
        <v>1.48</v>
      </c>
      <c r="H126" s="309">
        <v>0.625</v>
      </c>
      <c r="I126" s="309"/>
      <c r="J126" s="309" t="s">
        <v>470</v>
      </c>
      <c r="K126" s="309"/>
      <c r="L126" s="309" t="s">
        <v>434</v>
      </c>
      <c r="M126" s="310"/>
      <c r="N126" s="310"/>
      <c r="O126" s="310"/>
      <c r="P126" s="310"/>
      <c r="Q126" s="310"/>
      <c r="R126" s="310"/>
      <c r="S126" s="309"/>
      <c r="T126" s="309"/>
      <c r="U126" s="309"/>
      <c r="V126" s="309"/>
      <c r="W126" s="309"/>
      <c r="X126" s="309"/>
      <c r="Y126" s="309"/>
      <c r="Z126" s="309"/>
      <c r="AA126" s="309"/>
      <c r="AB126" s="309"/>
      <c r="AC126" s="309"/>
      <c r="AD126" s="309"/>
      <c r="AE126" s="309"/>
      <c r="AF126" s="309"/>
      <c r="AG126" s="309"/>
      <c r="AH126" s="309"/>
      <c r="AI126" s="309"/>
      <c r="AJ126" s="309"/>
      <c r="AK126" s="309"/>
      <c r="AL126" s="309"/>
      <c r="AM126" s="309"/>
      <c r="AN126" s="309"/>
      <c r="AO126" s="309"/>
      <c r="AP126" s="309"/>
      <c r="AQ126" s="309"/>
      <c r="AR126" s="309"/>
    </row>
    <row r="127" spans="1:44" ht="12.75" x14ac:dyDescent="0.2">
      <c r="A127" s="307" t="s">
        <v>560</v>
      </c>
      <c r="B127" s="308">
        <v>0</v>
      </c>
      <c r="C127" s="309"/>
      <c r="D127" s="309" t="s">
        <v>558</v>
      </c>
      <c r="E127" s="309" t="s">
        <v>30</v>
      </c>
      <c r="F127" s="309">
        <v>0.371</v>
      </c>
      <c r="G127" s="309">
        <v>1.72</v>
      </c>
      <c r="H127" s="309">
        <v>0.67</v>
      </c>
      <c r="I127" s="309"/>
      <c r="J127" s="309" t="s">
        <v>436</v>
      </c>
      <c r="K127" s="309"/>
      <c r="L127" s="309" t="s">
        <v>437</v>
      </c>
      <c r="M127" s="310"/>
      <c r="N127" s="310"/>
      <c r="O127" s="310"/>
      <c r="P127" s="310"/>
      <c r="Q127" s="310"/>
      <c r="R127" s="310"/>
      <c r="S127" s="309"/>
      <c r="T127" s="309"/>
      <c r="U127" s="309"/>
      <c r="V127" s="309"/>
      <c r="W127" s="309"/>
      <c r="X127" s="309"/>
      <c r="Y127" s="309"/>
      <c r="Z127" s="309"/>
      <c r="AA127" s="309"/>
      <c r="AB127" s="309"/>
      <c r="AC127" s="309"/>
      <c r="AD127" s="309"/>
      <c r="AE127" s="309"/>
      <c r="AF127" s="309"/>
      <c r="AG127" s="309"/>
      <c r="AH127" s="309"/>
      <c r="AI127" s="309"/>
      <c r="AJ127" s="309"/>
      <c r="AK127" s="309"/>
      <c r="AL127" s="309"/>
      <c r="AM127" s="309"/>
      <c r="AN127" s="309"/>
      <c r="AO127" s="309"/>
      <c r="AP127" s="309"/>
      <c r="AQ127" s="309"/>
      <c r="AR127" s="309"/>
    </row>
    <row r="128" spans="1:44" ht="12.75" x14ac:dyDescent="0.2">
      <c r="A128" s="307" t="s">
        <v>561</v>
      </c>
      <c r="B128" s="308">
        <v>20</v>
      </c>
      <c r="C128" s="309"/>
      <c r="D128" s="309" t="s">
        <v>558</v>
      </c>
      <c r="E128" s="309" t="s">
        <v>31</v>
      </c>
      <c r="F128" s="309">
        <v>0.311</v>
      </c>
      <c r="G128" s="309">
        <v>1.68</v>
      </c>
      <c r="H128" s="309">
        <v>0.57999999999999996</v>
      </c>
      <c r="I128" s="309"/>
      <c r="J128" s="309" t="s">
        <v>473</v>
      </c>
      <c r="K128" s="309"/>
      <c r="L128" s="309" t="s">
        <v>439</v>
      </c>
      <c r="M128" s="310"/>
      <c r="N128" s="310"/>
      <c r="O128" s="310"/>
      <c r="P128" s="310"/>
      <c r="Q128" s="310"/>
      <c r="R128" s="310"/>
      <c r="S128" s="309"/>
      <c r="T128" s="309"/>
      <c r="U128" s="309"/>
      <c r="V128" s="309"/>
      <c r="W128" s="309"/>
      <c r="X128" s="309"/>
      <c r="Y128" s="309"/>
      <c r="Z128" s="309"/>
      <c r="AA128" s="309"/>
      <c r="AB128" s="309"/>
      <c r="AC128" s="309"/>
      <c r="AD128" s="309"/>
      <c r="AE128" s="309"/>
      <c r="AF128" s="309"/>
      <c r="AG128" s="309"/>
      <c r="AH128" s="309"/>
      <c r="AI128" s="309"/>
      <c r="AJ128" s="309"/>
      <c r="AK128" s="309"/>
      <c r="AL128" s="309"/>
      <c r="AM128" s="309"/>
      <c r="AN128" s="309"/>
      <c r="AO128" s="309"/>
      <c r="AP128" s="309"/>
      <c r="AQ128" s="309"/>
      <c r="AR128" s="309"/>
    </row>
    <row r="129" spans="1:44" ht="12.75" x14ac:dyDescent="0.2">
      <c r="A129" s="307" t="s">
        <v>562</v>
      </c>
      <c r="B129" s="308">
        <v>65</v>
      </c>
      <c r="C129" s="309"/>
      <c r="D129" s="309" t="s">
        <v>558</v>
      </c>
      <c r="E129" s="309" t="s">
        <v>32</v>
      </c>
      <c r="F129" s="309">
        <v>0.33500000000000002</v>
      </c>
      <c r="G129" s="309">
        <v>1.58</v>
      </c>
      <c r="H129" s="309">
        <v>0.64</v>
      </c>
      <c r="I129" s="309"/>
      <c r="J129" s="309" t="s">
        <v>475</v>
      </c>
      <c r="K129" s="309"/>
      <c r="L129" s="309" t="s">
        <v>442</v>
      </c>
      <c r="M129" s="310"/>
      <c r="N129" s="310"/>
      <c r="O129" s="310"/>
      <c r="P129" s="310"/>
      <c r="Q129" s="310"/>
      <c r="R129" s="310"/>
      <c r="S129" s="309"/>
      <c r="T129" s="309"/>
      <c r="U129" s="309"/>
      <c r="V129" s="309"/>
      <c r="W129" s="309"/>
      <c r="X129" s="309"/>
      <c r="Y129" s="309"/>
      <c r="Z129" s="309"/>
      <c r="AA129" s="309"/>
      <c r="AB129" s="309"/>
      <c r="AC129" s="309"/>
      <c r="AD129" s="309"/>
      <c r="AE129" s="309"/>
      <c r="AF129" s="309"/>
      <c r="AG129" s="309"/>
      <c r="AH129" s="309"/>
      <c r="AI129" s="309"/>
      <c r="AJ129" s="309"/>
      <c r="AK129" s="309"/>
      <c r="AL129" s="309"/>
      <c r="AM129" s="309"/>
      <c r="AN129" s="309"/>
      <c r="AO129" s="309"/>
      <c r="AP129" s="309"/>
      <c r="AQ129" s="309"/>
      <c r="AR129" s="309"/>
    </row>
    <row r="130" spans="1:44" ht="12.75" x14ac:dyDescent="0.2">
      <c r="A130" s="307" t="s">
        <v>563</v>
      </c>
      <c r="B130" s="308">
        <v>20</v>
      </c>
      <c r="C130" s="309"/>
      <c r="D130" s="309" t="s">
        <v>558</v>
      </c>
      <c r="E130" s="309" t="s">
        <v>27</v>
      </c>
      <c r="F130" s="309">
        <v>0.44</v>
      </c>
      <c r="G130" s="309">
        <v>1.33</v>
      </c>
      <c r="H130" s="309">
        <v>0.64</v>
      </c>
      <c r="I130" s="309"/>
      <c r="J130" s="309" t="s">
        <v>492</v>
      </c>
      <c r="K130" s="309"/>
      <c r="L130" s="309" t="s">
        <v>428</v>
      </c>
      <c r="M130" s="310"/>
      <c r="N130" s="310"/>
      <c r="O130" s="310"/>
      <c r="P130" s="310"/>
      <c r="Q130" s="310"/>
      <c r="R130" s="310"/>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row>
    <row r="131" spans="1:44" ht="12.75" x14ac:dyDescent="0.2">
      <c r="A131" s="307" t="s">
        <v>564</v>
      </c>
      <c r="B131" s="308">
        <v>80</v>
      </c>
      <c r="C131" s="309"/>
      <c r="D131" s="309" t="s">
        <v>558</v>
      </c>
      <c r="E131" s="309" t="s">
        <v>28</v>
      </c>
      <c r="F131" s="309">
        <v>0.39500000000000002</v>
      </c>
      <c r="G131" s="309">
        <v>2.04</v>
      </c>
      <c r="H131" s="309">
        <v>0.67</v>
      </c>
      <c r="I131" s="309"/>
      <c r="J131" s="309" t="s">
        <v>430</v>
      </c>
      <c r="K131" s="309"/>
      <c r="L131" s="309" t="s">
        <v>431</v>
      </c>
      <c r="M131" s="310"/>
      <c r="N131" s="310"/>
      <c r="O131" s="310"/>
      <c r="P131" s="310"/>
      <c r="Q131" s="310"/>
      <c r="R131" s="310"/>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row>
    <row r="132" spans="1:44" ht="12.75" x14ac:dyDescent="0.2">
      <c r="A132" s="304" t="s">
        <v>565</v>
      </c>
      <c r="B132" s="305"/>
      <c r="C132" s="200" t="s">
        <v>366</v>
      </c>
      <c r="D132" s="313" t="s">
        <v>566</v>
      </c>
      <c r="E132" s="200" t="s">
        <v>34</v>
      </c>
      <c r="F132" s="200">
        <v>0.26</v>
      </c>
      <c r="G132" s="200">
        <v>1.35</v>
      </c>
      <c r="H132" s="200">
        <v>0.57999999999999996</v>
      </c>
      <c r="J132" s="200" t="s">
        <v>552</v>
      </c>
      <c r="K132" s="200"/>
      <c r="L132" s="200" t="s">
        <v>450</v>
      </c>
      <c r="M132" s="306"/>
      <c r="N132" s="306"/>
      <c r="O132" s="306"/>
      <c r="P132" s="306"/>
      <c r="Q132" s="306"/>
      <c r="R132" s="306"/>
    </row>
    <row r="133" spans="1:44" ht="12.75" x14ac:dyDescent="0.2">
      <c r="A133" s="304" t="s">
        <v>567</v>
      </c>
      <c r="B133" s="305"/>
      <c r="C133" s="200" t="s">
        <v>366</v>
      </c>
      <c r="D133" s="313" t="s">
        <v>386</v>
      </c>
      <c r="E133" s="200" t="s">
        <v>27</v>
      </c>
      <c r="F133" s="200"/>
      <c r="G133" s="200"/>
      <c r="H133" s="200"/>
      <c r="I133" s="200"/>
      <c r="J133" s="200" t="s">
        <v>568</v>
      </c>
      <c r="K133" s="200"/>
      <c r="L133" s="200" t="s">
        <v>569</v>
      </c>
      <c r="M133" s="306"/>
      <c r="N133" s="306"/>
      <c r="O133" s="306"/>
      <c r="P133" s="306"/>
      <c r="Q133" s="306"/>
      <c r="R133" s="306"/>
      <c r="S133" s="200">
        <v>1.5</v>
      </c>
      <c r="T133" s="200">
        <v>0.75</v>
      </c>
      <c r="U133" s="200">
        <v>30</v>
      </c>
      <c r="V133" s="200">
        <v>0.75</v>
      </c>
      <c r="W133" s="200">
        <v>2</v>
      </c>
      <c r="X133" s="200">
        <v>3</v>
      </c>
      <c r="Y133" s="200">
        <v>0.75</v>
      </c>
    </row>
    <row r="134" spans="1:44" ht="12.75" x14ac:dyDescent="0.2">
      <c r="A134" s="304" t="s">
        <v>570</v>
      </c>
      <c r="B134" s="305"/>
      <c r="C134" s="200" t="s">
        <v>366</v>
      </c>
      <c r="D134" s="313" t="s">
        <v>386</v>
      </c>
      <c r="E134" s="200" t="s">
        <v>11</v>
      </c>
      <c r="F134" s="200"/>
      <c r="G134" s="200"/>
      <c r="H134" s="200"/>
      <c r="I134" s="200"/>
      <c r="J134" s="200" t="s">
        <v>568</v>
      </c>
      <c r="M134" s="306"/>
      <c r="N134" s="306"/>
      <c r="O134" s="306"/>
      <c r="P134" s="306"/>
      <c r="Q134" s="306"/>
      <c r="R134" s="306"/>
    </row>
    <row r="135" spans="1:44" ht="12.75" x14ac:dyDescent="0.2">
      <c r="A135" s="307" t="s">
        <v>571</v>
      </c>
      <c r="B135" s="308">
        <v>75</v>
      </c>
      <c r="C135" s="309"/>
      <c r="D135" s="309" t="s">
        <v>506</v>
      </c>
      <c r="E135" s="309" t="s">
        <v>29</v>
      </c>
      <c r="F135" s="309"/>
      <c r="G135" s="309"/>
      <c r="H135" s="309"/>
      <c r="I135" s="309"/>
      <c r="J135" s="309" t="s">
        <v>568</v>
      </c>
      <c r="K135" s="309"/>
      <c r="L135" s="309"/>
      <c r="M135" s="310"/>
      <c r="N135" s="310"/>
      <c r="O135" s="310"/>
      <c r="P135" s="310"/>
      <c r="Q135" s="310"/>
      <c r="R135" s="310"/>
      <c r="S135" s="309"/>
      <c r="T135" s="309"/>
      <c r="U135" s="309"/>
      <c r="V135" s="309"/>
      <c r="W135" s="309"/>
      <c r="X135" s="309"/>
      <c r="Y135" s="309"/>
      <c r="Z135" s="309"/>
      <c r="AA135" s="309"/>
      <c r="AB135" s="309"/>
      <c r="AC135" s="309"/>
      <c r="AD135" s="309"/>
      <c r="AE135" s="309"/>
      <c r="AF135" s="309"/>
      <c r="AG135" s="309"/>
      <c r="AH135" s="309"/>
      <c r="AI135" s="309"/>
      <c r="AJ135" s="309"/>
      <c r="AK135" s="309"/>
      <c r="AL135" s="309"/>
      <c r="AM135" s="309"/>
      <c r="AN135" s="309"/>
      <c r="AO135" s="309"/>
      <c r="AP135" s="309"/>
      <c r="AQ135" s="309"/>
      <c r="AR135" s="309"/>
    </row>
    <row r="136" spans="1:44" ht="12.75" x14ac:dyDescent="0.2">
      <c r="A136" s="317" t="s">
        <v>572</v>
      </c>
      <c r="B136" s="318"/>
      <c r="C136" s="319" t="s">
        <v>457</v>
      </c>
      <c r="D136" s="319" t="s">
        <v>573</v>
      </c>
      <c r="E136" s="319" t="s">
        <v>32</v>
      </c>
      <c r="F136" s="319"/>
      <c r="G136" s="319"/>
      <c r="H136" s="319"/>
      <c r="I136" s="319"/>
      <c r="J136" s="319" t="s">
        <v>574</v>
      </c>
      <c r="K136" s="319"/>
      <c r="L136" s="319"/>
      <c r="M136" s="320"/>
      <c r="N136" s="320"/>
      <c r="O136" s="320"/>
      <c r="P136" s="320"/>
      <c r="Q136" s="320"/>
      <c r="R136" s="320"/>
      <c r="S136" s="319"/>
      <c r="T136" s="319"/>
      <c r="U136" s="319"/>
      <c r="V136" s="319"/>
      <c r="W136" s="319"/>
      <c r="X136" s="319"/>
      <c r="Y136" s="319"/>
      <c r="Z136" s="319"/>
      <c r="AA136" s="319"/>
      <c r="AB136" s="319"/>
      <c r="AC136" s="319"/>
      <c r="AD136" s="319"/>
      <c r="AE136" s="319"/>
      <c r="AF136" s="319"/>
      <c r="AG136" s="319"/>
      <c r="AH136" s="319"/>
      <c r="AI136" s="319"/>
      <c r="AJ136" s="319"/>
      <c r="AK136" s="319"/>
      <c r="AL136" s="319"/>
      <c r="AM136" s="319"/>
      <c r="AN136" s="319"/>
      <c r="AO136" s="319"/>
      <c r="AP136" s="319"/>
      <c r="AQ136" s="319"/>
      <c r="AR136" s="319"/>
    </row>
    <row r="137" spans="1:44" ht="12.75" x14ac:dyDescent="0.2">
      <c r="A137" s="317" t="s">
        <v>575</v>
      </c>
      <c r="B137" s="318"/>
      <c r="C137" s="319" t="s">
        <v>576</v>
      </c>
      <c r="D137" s="319" t="s">
        <v>393</v>
      </c>
      <c r="E137" s="319" t="s">
        <v>31</v>
      </c>
      <c r="F137" s="319">
        <v>0.28999999999999998</v>
      </c>
      <c r="G137" s="319">
        <v>1.1499999999999999</v>
      </c>
      <c r="H137" s="319">
        <v>0.62</v>
      </c>
      <c r="I137" s="319"/>
      <c r="J137" s="319" t="s">
        <v>577</v>
      </c>
      <c r="K137" s="319"/>
      <c r="L137" s="319"/>
      <c r="M137" s="320">
        <v>43852</v>
      </c>
      <c r="N137" s="320"/>
      <c r="O137" s="320"/>
      <c r="P137" s="320"/>
      <c r="Q137" s="320"/>
      <c r="R137" s="320"/>
      <c r="S137" s="319"/>
      <c r="T137" s="319"/>
      <c r="U137" s="319"/>
      <c r="V137" s="319"/>
      <c r="W137" s="319"/>
      <c r="X137" s="319"/>
      <c r="Y137" s="319"/>
      <c r="Z137" s="319"/>
      <c r="AA137" s="319"/>
      <c r="AB137" s="319"/>
      <c r="AC137" s="319"/>
      <c r="AD137" s="319"/>
      <c r="AE137" s="319"/>
      <c r="AF137" s="319"/>
      <c r="AG137" s="319"/>
      <c r="AH137" s="319"/>
      <c r="AI137" s="319"/>
      <c r="AJ137" s="319"/>
      <c r="AK137" s="319"/>
      <c r="AL137" s="319"/>
      <c r="AM137" s="319"/>
      <c r="AN137" s="319"/>
      <c r="AO137" s="319"/>
      <c r="AP137" s="319"/>
      <c r="AQ137" s="319"/>
      <c r="AR137" s="319"/>
    </row>
    <row r="138" spans="1:44" ht="12.75" x14ac:dyDescent="0.2">
      <c r="A138" s="304" t="s">
        <v>578</v>
      </c>
      <c r="B138" s="305"/>
      <c r="C138" s="200" t="s">
        <v>366</v>
      </c>
      <c r="D138" s="313" t="s">
        <v>579</v>
      </c>
      <c r="E138" s="200" t="s">
        <v>30</v>
      </c>
      <c r="F138" s="200">
        <v>0.3</v>
      </c>
      <c r="G138" s="200">
        <v>1.18</v>
      </c>
      <c r="H138" s="200">
        <v>0.61</v>
      </c>
      <c r="M138" s="306"/>
      <c r="N138" s="306"/>
      <c r="O138" s="306"/>
      <c r="P138" s="306"/>
      <c r="Q138" s="306"/>
      <c r="R138" s="306"/>
    </row>
    <row r="139" spans="1:44" ht="12.75" x14ac:dyDescent="0.2">
      <c r="A139" s="304" t="s">
        <v>580</v>
      </c>
      <c r="B139" s="305"/>
      <c r="C139" s="200" t="s">
        <v>366</v>
      </c>
      <c r="D139" s="313" t="s">
        <v>579</v>
      </c>
      <c r="E139" s="200" t="s">
        <v>31</v>
      </c>
      <c r="F139" s="200">
        <v>0.29799999999999999</v>
      </c>
      <c r="G139" s="200">
        <v>1.19</v>
      </c>
      <c r="H139" s="200">
        <v>0.72</v>
      </c>
      <c r="M139" s="306"/>
      <c r="N139" s="306"/>
      <c r="O139" s="306"/>
      <c r="P139" s="306"/>
      <c r="Q139" s="306"/>
      <c r="R139" s="306"/>
    </row>
    <row r="140" spans="1:44" ht="12.75" x14ac:dyDescent="0.2">
      <c r="A140" s="304" t="s">
        <v>581</v>
      </c>
      <c r="B140" s="305"/>
      <c r="C140" s="200" t="s">
        <v>366</v>
      </c>
      <c r="D140" s="313" t="s">
        <v>579</v>
      </c>
      <c r="E140" s="200" t="s">
        <v>32</v>
      </c>
      <c r="F140" s="200">
        <v>0.29399999999999998</v>
      </c>
      <c r="G140" s="200">
        <v>1.1299999999999999</v>
      </c>
      <c r="H140" s="200">
        <v>0.77</v>
      </c>
      <c r="M140" s="306"/>
      <c r="N140" s="306"/>
      <c r="O140" s="306"/>
      <c r="P140" s="306"/>
      <c r="Q140" s="306"/>
      <c r="R140" s="306"/>
    </row>
    <row r="141" spans="1:44" ht="12.75" x14ac:dyDescent="0.2">
      <c r="A141" s="304" t="s">
        <v>582</v>
      </c>
      <c r="B141" s="305"/>
      <c r="C141" s="200" t="s">
        <v>366</v>
      </c>
      <c r="D141" s="313" t="s">
        <v>579</v>
      </c>
      <c r="E141" s="200" t="s">
        <v>32</v>
      </c>
      <c r="F141" s="200">
        <v>0.29799999999999999</v>
      </c>
      <c r="G141" s="200">
        <v>1.1299999999999999</v>
      </c>
      <c r="H141" s="200">
        <v>0.63</v>
      </c>
      <c r="M141" s="306"/>
      <c r="N141" s="306"/>
      <c r="O141" s="306"/>
      <c r="P141" s="306"/>
      <c r="Q141" s="306"/>
      <c r="R141" s="306"/>
    </row>
    <row r="142" spans="1:44" ht="12.75" x14ac:dyDescent="0.2">
      <c r="A142" s="307" t="s">
        <v>583</v>
      </c>
      <c r="B142" s="308">
        <v>40</v>
      </c>
      <c r="C142" s="309"/>
      <c r="D142" s="309" t="s">
        <v>579</v>
      </c>
      <c r="E142" s="309" t="s">
        <v>33</v>
      </c>
      <c r="F142" s="309">
        <v>0.3</v>
      </c>
      <c r="G142" s="309">
        <v>1.18</v>
      </c>
      <c r="H142" s="309">
        <v>0.67</v>
      </c>
      <c r="I142" s="309"/>
      <c r="J142" s="309"/>
      <c r="K142" s="309"/>
      <c r="L142" s="309"/>
      <c r="M142" s="310"/>
      <c r="N142" s="310"/>
      <c r="O142" s="310"/>
      <c r="P142" s="310"/>
      <c r="Q142" s="310"/>
      <c r="R142" s="310"/>
      <c r="S142" s="309"/>
      <c r="T142" s="309"/>
      <c r="U142" s="309"/>
      <c r="V142" s="309"/>
      <c r="W142" s="309"/>
      <c r="X142" s="309"/>
      <c r="Y142" s="309"/>
      <c r="Z142" s="309"/>
      <c r="AA142" s="309"/>
      <c r="AB142" s="309"/>
      <c r="AC142" s="309"/>
      <c r="AD142" s="309"/>
      <c r="AE142" s="309"/>
      <c r="AF142" s="309"/>
      <c r="AG142" s="309"/>
      <c r="AH142" s="309"/>
      <c r="AI142" s="309"/>
      <c r="AJ142" s="309"/>
      <c r="AK142" s="309"/>
      <c r="AL142" s="309"/>
      <c r="AM142" s="309"/>
      <c r="AN142" s="309"/>
      <c r="AO142" s="309"/>
      <c r="AP142" s="309"/>
      <c r="AQ142" s="309"/>
      <c r="AR142" s="309"/>
    </row>
    <row r="143" spans="1:44" ht="12.75" x14ac:dyDescent="0.2">
      <c r="A143" s="317" t="s">
        <v>584</v>
      </c>
      <c r="B143" s="318"/>
      <c r="C143" s="319" t="s">
        <v>403</v>
      </c>
      <c r="D143" s="319" t="s">
        <v>579</v>
      </c>
      <c r="E143" s="319" t="s">
        <v>34</v>
      </c>
      <c r="F143" s="319">
        <v>0.27500000000000002</v>
      </c>
      <c r="G143" s="319">
        <v>1.1000000000000001</v>
      </c>
      <c r="H143" s="319">
        <v>0.54</v>
      </c>
      <c r="I143" s="319"/>
      <c r="J143" s="319"/>
      <c r="K143" s="319"/>
      <c r="L143" s="319"/>
      <c r="M143" s="320"/>
      <c r="N143" s="320"/>
      <c r="O143" s="320"/>
      <c r="P143" s="320"/>
      <c r="Q143" s="320"/>
      <c r="R143" s="320"/>
      <c r="S143" s="319"/>
      <c r="T143" s="319"/>
      <c r="U143" s="319"/>
      <c r="V143" s="319"/>
      <c r="W143" s="319"/>
      <c r="X143" s="319"/>
      <c r="Y143" s="319"/>
      <c r="Z143" s="319"/>
      <c r="AA143" s="319"/>
      <c r="AB143" s="319"/>
      <c r="AC143" s="319"/>
      <c r="AD143" s="319"/>
      <c r="AE143" s="319"/>
      <c r="AF143" s="319"/>
      <c r="AG143" s="319"/>
      <c r="AH143" s="319"/>
      <c r="AI143" s="319"/>
      <c r="AJ143" s="319"/>
      <c r="AK143" s="319"/>
      <c r="AL143" s="319"/>
      <c r="AM143" s="319"/>
      <c r="AN143" s="319"/>
      <c r="AO143" s="319"/>
      <c r="AP143" s="319"/>
      <c r="AQ143" s="319"/>
      <c r="AR143" s="319"/>
    </row>
    <row r="144" spans="1:44" ht="12.75" x14ac:dyDescent="0.2">
      <c r="A144" s="304" t="s">
        <v>585</v>
      </c>
      <c r="B144" s="305"/>
      <c r="D144" s="200" t="s">
        <v>586</v>
      </c>
      <c r="E144" s="200" t="s">
        <v>27</v>
      </c>
      <c r="G144" s="200"/>
      <c r="I144" s="200">
        <v>1</v>
      </c>
      <c r="M144" s="306"/>
      <c r="N144" s="306"/>
      <c r="O144" s="306"/>
      <c r="P144" s="306"/>
      <c r="Q144" s="306"/>
      <c r="R144" s="306"/>
    </row>
    <row r="145" spans="1:44" ht="12.75" x14ac:dyDescent="0.2">
      <c r="A145" s="304" t="s">
        <v>587</v>
      </c>
      <c r="B145" s="305"/>
      <c r="D145" s="200" t="s">
        <v>588</v>
      </c>
      <c r="E145" s="200" t="s">
        <v>25</v>
      </c>
      <c r="I145" s="200">
        <v>1</v>
      </c>
      <c r="M145" s="306"/>
      <c r="N145" s="306"/>
      <c r="O145" s="306"/>
      <c r="P145" s="306"/>
      <c r="Q145" s="306"/>
      <c r="R145" s="306"/>
    </row>
    <row r="146" spans="1:44" ht="12.75" x14ac:dyDescent="0.2">
      <c r="A146" s="304" t="s">
        <v>589</v>
      </c>
      <c r="B146" s="305"/>
      <c r="D146" s="200" t="s">
        <v>588</v>
      </c>
      <c r="E146" s="200" t="s">
        <v>11</v>
      </c>
      <c r="I146" s="200">
        <v>1</v>
      </c>
      <c r="M146" s="306"/>
      <c r="N146" s="306"/>
      <c r="O146" s="306"/>
      <c r="P146" s="306"/>
      <c r="Q146" s="306"/>
      <c r="R146" s="306"/>
    </row>
    <row r="147" spans="1:44" ht="12.75" x14ac:dyDescent="0.2">
      <c r="A147" s="317" t="s">
        <v>590</v>
      </c>
      <c r="B147" s="318"/>
      <c r="C147" s="319" t="s">
        <v>591</v>
      </c>
      <c r="D147" s="319" t="s">
        <v>588</v>
      </c>
      <c r="E147" s="319" t="s">
        <v>26</v>
      </c>
      <c r="F147" s="319"/>
      <c r="G147" s="319"/>
      <c r="H147" s="319"/>
      <c r="I147" s="319">
        <v>1</v>
      </c>
      <c r="J147" s="319"/>
      <c r="K147" s="319"/>
      <c r="L147" s="319"/>
      <c r="M147" s="320"/>
      <c r="N147" s="320"/>
      <c r="O147" s="320"/>
      <c r="P147" s="320"/>
      <c r="Q147" s="320"/>
      <c r="R147" s="320"/>
      <c r="S147" s="319"/>
      <c r="T147" s="319"/>
      <c r="U147" s="319"/>
      <c r="V147" s="319"/>
      <c r="W147" s="319"/>
      <c r="X147" s="319"/>
      <c r="Y147" s="319"/>
      <c r="Z147" s="319"/>
      <c r="AA147" s="319"/>
      <c r="AB147" s="319"/>
      <c r="AC147" s="319"/>
      <c r="AD147" s="319"/>
      <c r="AE147" s="319"/>
      <c r="AF147" s="319"/>
      <c r="AG147" s="319"/>
      <c r="AH147" s="319"/>
      <c r="AI147" s="319"/>
      <c r="AJ147" s="319"/>
      <c r="AK147" s="319"/>
      <c r="AL147" s="319"/>
      <c r="AM147" s="319"/>
      <c r="AN147" s="319"/>
      <c r="AO147" s="319"/>
      <c r="AP147" s="319"/>
      <c r="AQ147" s="319"/>
      <c r="AR147" s="319"/>
    </row>
    <row r="148" spans="1:44" ht="12.75" x14ac:dyDescent="0.2">
      <c r="A148" s="304" t="s">
        <v>592</v>
      </c>
      <c r="B148" s="305"/>
      <c r="D148" s="200" t="s">
        <v>588</v>
      </c>
      <c r="E148" s="200" t="s">
        <v>27</v>
      </c>
      <c r="I148" s="200">
        <v>1</v>
      </c>
      <c r="M148" s="306"/>
      <c r="N148" s="306"/>
      <c r="O148" s="306"/>
      <c r="P148" s="306"/>
      <c r="Q148" s="306"/>
      <c r="R148" s="306"/>
    </row>
    <row r="149" spans="1:44" ht="12.75" x14ac:dyDescent="0.2">
      <c r="A149" s="304" t="s">
        <v>593</v>
      </c>
      <c r="B149" s="305"/>
      <c r="D149" s="200" t="s">
        <v>594</v>
      </c>
      <c r="E149" s="200" t="s">
        <v>28</v>
      </c>
      <c r="I149" s="200">
        <v>1</v>
      </c>
      <c r="M149" s="306"/>
      <c r="N149" s="306"/>
      <c r="O149" s="306"/>
      <c r="P149" s="306"/>
      <c r="Q149" s="306"/>
      <c r="R149" s="306"/>
    </row>
    <row r="150" spans="1:44" ht="12.75" x14ac:dyDescent="0.2">
      <c r="A150" s="304" t="s">
        <v>595</v>
      </c>
      <c r="B150" s="305"/>
      <c r="D150" s="200" t="s">
        <v>594</v>
      </c>
      <c r="E150" s="200" t="s">
        <v>29</v>
      </c>
      <c r="I150" s="200">
        <v>1</v>
      </c>
      <c r="M150" s="306"/>
      <c r="N150" s="306"/>
      <c r="O150" s="306"/>
      <c r="P150" s="306"/>
      <c r="Q150" s="306"/>
      <c r="R150" s="306"/>
    </row>
    <row r="151" spans="1:44" ht="12.75" x14ac:dyDescent="0.2">
      <c r="A151" s="304" t="s">
        <v>596</v>
      </c>
      <c r="B151" s="305"/>
      <c r="D151" s="200" t="s">
        <v>588</v>
      </c>
      <c r="E151" s="200" t="s">
        <v>30</v>
      </c>
      <c r="I151" s="200">
        <v>1</v>
      </c>
      <c r="M151" s="306"/>
      <c r="N151" s="306"/>
      <c r="O151" s="306"/>
      <c r="P151" s="306"/>
      <c r="Q151" s="306"/>
      <c r="R151" s="306"/>
    </row>
    <row r="152" spans="1:44" ht="12.75" x14ac:dyDescent="0.2">
      <c r="A152" s="304" t="s">
        <v>597</v>
      </c>
      <c r="B152" s="305"/>
      <c r="D152" s="200" t="s">
        <v>594</v>
      </c>
      <c r="E152" s="200" t="s">
        <v>31</v>
      </c>
      <c r="I152" s="200">
        <v>1</v>
      </c>
      <c r="M152" s="306"/>
      <c r="N152" s="306"/>
      <c r="O152" s="306"/>
      <c r="P152" s="306"/>
      <c r="Q152" s="306"/>
      <c r="R152" s="306"/>
    </row>
    <row r="153" spans="1:44" ht="12.75" x14ac:dyDescent="0.2">
      <c r="A153" s="304" t="s">
        <v>598</v>
      </c>
      <c r="B153" s="305"/>
      <c r="D153" s="200" t="s">
        <v>594</v>
      </c>
      <c r="E153" s="200" t="s">
        <v>32</v>
      </c>
      <c r="I153" s="200">
        <v>1</v>
      </c>
      <c r="M153" s="306"/>
      <c r="N153" s="306"/>
      <c r="O153" s="306"/>
      <c r="P153" s="306"/>
      <c r="Q153" s="306"/>
      <c r="R153" s="306"/>
    </row>
    <row r="154" spans="1:44" ht="12.75" x14ac:dyDescent="0.2">
      <c r="A154" s="304" t="s">
        <v>599</v>
      </c>
      <c r="B154" s="305"/>
      <c r="D154" s="200" t="s">
        <v>594</v>
      </c>
      <c r="E154" s="200" t="s">
        <v>33</v>
      </c>
      <c r="I154" s="200">
        <v>1</v>
      </c>
      <c r="M154" s="306"/>
      <c r="N154" s="306"/>
      <c r="O154" s="306"/>
      <c r="P154" s="306"/>
      <c r="Q154" s="306"/>
      <c r="R154" s="306"/>
    </row>
    <row r="155" spans="1:44" ht="12.75" x14ac:dyDescent="0.2">
      <c r="A155" s="304"/>
      <c r="B155" s="305"/>
      <c r="M155" s="306"/>
      <c r="N155" s="306"/>
      <c r="O155" s="306"/>
      <c r="P155" s="306"/>
      <c r="Q155" s="306"/>
      <c r="R155" s="306"/>
    </row>
    <row r="156" spans="1:44" ht="12.75" x14ac:dyDescent="0.2">
      <c r="A156" s="304"/>
      <c r="B156" s="305"/>
      <c r="M156" s="306"/>
      <c r="N156" s="306"/>
      <c r="O156" s="306"/>
      <c r="P156" s="306"/>
      <c r="Q156" s="306"/>
      <c r="R156" s="306"/>
    </row>
    <row r="157" spans="1:44" ht="12.75" x14ac:dyDescent="0.2">
      <c r="A157" s="304"/>
      <c r="B157" s="305">
        <f>SUM(B2:B154)</f>
        <v>1179.9499999999998</v>
      </c>
      <c r="H157" s="200" t="s">
        <v>600</v>
      </c>
      <c r="I157">
        <f>SUM(I2:I156)</f>
        <v>52</v>
      </c>
      <c r="M157" s="306"/>
      <c r="N157" s="306"/>
      <c r="O157" s="306"/>
      <c r="P157" s="306"/>
      <c r="Q157" s="306"/>
      <c r="R157" s="306"/>
    </row>
    <row r="158" spans="1:44" ht="12.75" x14ac:dyDescent="0.2">
      <c r="A158" s="304"/>
      <c r="B158" s="305"/>
      <c r="M158" s="306"/>
      <c r="N158" s="306"/>
      <c r="O158" s="306"/>
      <c r="P158" s="306"/>
      <c r="Q158" s="306"/>
      <c r="R158" s="306"/>
    </row>
    <row r="159" spans="1:44" ht="12.75" x14ac:dyDescent="0.2">
      <c r="A159" s="304"/>
      <c r="B159" s="305"/>
      <c r="M159" s="306"/>
      <c r="N159" s="306"/>
      <c r="O159" s="306"/>
      <c r="P159" s="306"/>
      <c r="Q159" s="306"/>
      <c r="R159" s="306"/>
    </row>
    <row r="160" spans="1:44" ht="12.75" x14ac:dyDescent="0.2">
      <c r="A160" s="304"/>
      <c r="B160" s="305"/>
      <c r="M160" s="306"/>
      <c r="N160" s="306"/>
      <c r="O160" s="306"/>
      <c r="P160" s="306"/>
      <c r="Q160" s="306"/>
      <c r="R160" s="306"/>
    </row>
    <row r="161" spans="1:18" ht="12.75" x14ac:dyDescent="0.2">
      <c r="A161" s="304"/>
      <c r="B161" s="305"/>
      <c r="C161" s="200" t="s">
        <v>601</v>
      </c>
      <c r="M161" s="306"/>
      <c r="N161" s="306"/>
      <c r="O161" s="306"/>
      <c r="P161" s="306"/>
      <c r="Q161" s="306"/>
      <c r="R161" s="306"/>
    </row>
    <row r="162" spans="1:18" ht="12.75" x14ac:dyDescent="0.2">
      <c r="A162" s="304"/>
      <c r="B162" s="305"/>
      <c r="M162" s="306"/>
      <c r="N162" s="306"/>
      <c r="O162" s="306"/>
      <c r="P162" s="306"/>
      <c r="Q162" s="306"/>
      <c r="R162" s="306"/>
    </row>
    <row r="163" spans="1:18" ht="12.75" x14ac:dyDescent="0.2">
      <c r="A163" s="304"/>
      <c r="B163" s="305"/>
      <c r="M163" s="306"/>
      <c r="N163" s="306"/>
      <c r="O163" s="306"/>
      <c r="P163" s="306"/>
      <c r="Q163" s="306"/>
      <c r="R163" s="306"/>
    </row>
    <row r="164" spans="1:18" ht="12.75" x14ac:dyDescent="0.2">
      <c r="A164" s="304"/>
      <c r="B164" s="305"/>
      <c r="M164" s="306"/>
      <c r="N164" s="306"/>
      <c r="O164" s="306"/>
      <c r="P164" s="306"/>
      <c r="Q164" s="306"/>
      <c r="R164" s="306"/>
    </row>
    <row r="165" spans="1:18" ht="12.75" x14ac:dyDescent="0.2">
      <c r="A165" s="304"/>
      <c r="B165" s="305"/>
      <c r="M165" s="306"/>
      <c r="N165" s="306"/>
      <c r="O165" s="306"/>
      <c r="P165" s="306"/>
      <c r="Q165" s="306"/>
      <c r="R165" s="306"/>
    </row>
    <row r="166" spans="1:18" ht="12.75" x14ac:dyDescent="0.2">
      <c r="A166" s="304"/>
      <c r="B166" s="305"/>
      <c r="M166" s="306"/>
      <c r="N166" s="306"/>
      <c r="O166" s="306"/>
      <c r="P166" s="306"/>
      <c r="Q166" s="306"/>
      <c r="R166" s="306"/>
    </row>
    <row r="167" spans="1:18" ht="12.75" x14ac:dyDescent="0.2">
      <c r="A167" s="304"/>
      <c r="B167" s="305"/>
      <c r="M167" s="306"/>
      <c r="N167" s="306"/>
      <c r="O167" s="306"/>
      <c r="P167" s="306"/>
      <c r="Q167" s="306"/>
      <c r="R167" s="306"/>
    </row>
    <row r="168" spans="1:18" ht="12.75" x14ac:dyDescent="0.2">
      <c r="A168" s="304"/>
      <c r="B168" s="305"/>
      <c r="M168" s="306"/>
      <c r="N168" s="306"/>
      <c r="O168" s="306"/>
      <c r="P168" s="306"/>
      <c r="Q168" s="306"/>
      <c r="R168" s="306"/>
    </row>
    <row r="169" spans="1:18" ht="12.75" x14ac:dyDescent="0.2">
      <c r="A169" s="304"/>
      <c r="B169" s="305"/>
      <c r="M169" s="306"/>
      <c r="N169" s="306"/>
      <c r="O169" s="306"/>
      <c r="P169" s="306"/>
      <c r="Q169" s="306"/>
      <c r="R169" s="306"/>
    </row>
    <row r="170" spans="1:18" ht="12.75" x14ac:dyDescent="0.2">
      <c r="A170" s="304"/>
      <c r="B170" s="305"/>
      <c r="M170" s="306"/>
      <c r="N170" s="306"/>
      <c r="O170" s="306"/>
      <c r="P170" s="306"/>
      <c r="Q170" s="306"/>
      <c r="R170" s="306"/>
    </row>
    <row r="171" spans="1:18" ht="12.75" x14ac:dyDescent="0.2">
      <c r="A171" s="304"/>
      <c r="B171" s="305"/>
      <c r="M171" s="306"/>
      <c r="N171" s="306"/>
      <c r="O171" s="306"/>
      <c r="P171" s="306"/>
      <c r="Q171" s="306"/>
      <c r="R171" s="306"/>
    </row>
    <row r="172" spans="1:18" ht="12.75" x14ac:dyDescent="0.2">
      <c r="A172" s="304"/>
      <c r="B172" s="305"/>
      <c r="M172" s="306"/>
      <c r="N172" s="306"/>
      <c r="O172" s="306"/>
      <c r="P172" s="306"/>
      <c r="Q172" s="306"/>
      <c r="R172" s="306"/>
    </row>
    <row r="173" spans="1:18" ht="12.75" x14ac:dyDescent="0.2">
      <c r="A173" s="304"/>
      <c r="B173" s="305"/>
      <c r="M173" s="306"/>
      <c r="N173" s="306"/>
      <c r="O173" s="306"/>
      <c r="P173" s="306"/>
      <c r="Q173" s="306"/>
      <c r="R173" s="306"/>
    </row>
    <row r="174" spans="1:18" ht="12.75" x14ac:dyDescent="0.2">
      <c r="A174" s="304"/>
      <c r="B174" s="305"/>
      <c r="M174" s="306"/>
      <c r="N174" s="306"/>
      <c r="O174" s="306"/>
      <c r="P174" s="306"/>
      <c r="Q174" s="306"/>
      <c r="R174" s="306"/>
    </row>
    <row r="175" spans="1:18" ht="12.75" x14ac:dyDescent="0.2">
      <c r="A175" s="304"/>
      <c r="B175" s="305"/>
      <c r="M175" s="306"/>
      <c r="N175" s="306"/>
      <c r="O175" s="306"/>
      <c r="P175" s="306"/>
      <c r="Q175" s="306"/>
      <c r="R175" s="306"/>
    </row>
    <row r="176" spans="1:18" ht="12.75" x14ac:dyDescent="0.2">
      <c r="A176" s="304"/>
      <c r="B176" s="305"/>
      <c r="M176" s="306"/>
      <c r="N176" s="306"/>
      <c r="O176" s="306"/>
      <c r="P176" s="306"/>
      <c r="Q176" s="306"/>
      <c r="R176" s="306"/>
    </row>
    <row r="177" spans="1:18" ht="12.75" x14ac:dyDescent="0.2">
      <c r="A177" s="304"/>
      <c r="B177" s="305"/>
      <c r="M177" s="306"/>
      <c r="N177" s="306"/>
      <c r="O177" s="306"/>
      <c r="P177" s="306"/>
      <c r="Q177" s="306"/>
      <c r="R177" s="306"/>
    </row>
    <row r="178" spans="1:18" ht="12.75" x14ac:dyDescent="0.2">
      <c r="A178" s="304"/>
      <c r="B178" s="305"/>
      <c r="M178" s="306"/>
      <c r="N178" s="306"/>
      <c r="O178" s="306"/>
      <c r="P178" s="306"/>
      <c r="Q178" s="306"/>
      <c r="R178" s="306"/>
    </row>
    <row r="179" spans="1:18" ht="12.75" x14ac:dyDescent="0.2">
      <c r="A179" s="304"/>
      <c r="B179" s="305"/>
      <c r="M179" s="306"/>
      <c r="N179" s="306"/>
      <c r="O179" s="306"/>
      <c r="P179" s="306"/>
      <c r="Q179" s="306"/>
      <c r="R179" s="306"/>
    </row>
    <row r="180" spans="1:18" ht="12.75" x14ac:dyDescent="0.2">
      <c r="A180" s="304"/>
      <c r="B180" s="305"/>
      <c r="M180" s="306"/>
      <c r="N180" s="306"/>
      <c r="O180" s="306"/>
      <c r="P180" s="306"/>
      <c r="Q180" s="306"/>
      <c r="R180" s="306"/>
    </row>
    <row r="181" spans="1:18" ht="12.75" x14ac:dyDescent="0.2">
      <c r="A181" s="304"/>
      <c r="B181" s="305"/>
      <c r="M181" s="306"/>
      <c r="N181" s="306"/>
      <c r="O181" s="306"/>
      <c r="P181" s="306"/>
      <c r="Q181" s="306"/>
      <c r="R181" s="306"/>
    </row>
    <row r="182" spans="1:18" ht="12.75" x14ac:dyDescent="0.2">
      <c r="A182" s="304"/>
      <c r="B182" s="305"/>
      <c r="M182" s="306"/>
      <c r="N182" s="306"/>
      <c r="O182" s="306"/>
      <c r="P182" s="306"/>
      <c r="Q182" s="306"/>
      <c r="R182" s="306"/>
    </row>
    <row r="183" spans="1:18" ht="12.75" x14ac:dyDescent="0.2">
      <c r="A183" s="304"/>
      <c r="B183" s="305"/>
      <c r="M183" s="306"/>
      <c r="N183" s="306"/>
      <c r="O183" s="306"/>
      <c r="P183" s="306"/>
      <c r="Q183" s="306"/>
      <c r="R183" s="306"/>
    </row>
    <row r="184" spans="1:18" ht="12.75" x14ac:dyDescent="0.2">
      <c r="A184" s="304"/>
      <c r="B184" s="305"/>
      <c r="M184" s="306"/>
      <c r="N184" s="306"/>
      <c r="O184" s="306"/>
      <c r="P184" s="306"/>
      <c r="Q184" s="306"/>
      <c r="R184" s="306"/>
    </row>
    <row r="185" spans="1:18" ht="12.75" x14ac:dyDescent="0.2">
      <c r="A185" s="304"/>
      <c r="B185" s="305"/>
      <c r="M185" s="306"/>
      <c r="N185" s="306"/>
      <c r="O185" s="306"/>
      <c r="P185" s="306"/>
      <c r="Q185" s="306"/>
      <c r="R185" s="306"/>
    </row>
    <row r="186" spans="1:18" ht="12.75" x14ac:dyDescent="0.2">
      <c r="A186" s="304"/>
      <c r="B186" s="305"/>
      <c r="M186" s="306"/>
      <c r="N186" s="306"/>
      <c r="O186" s="306"/>
      <c r="P186" s="306"/>
      <c r="Q186" s="306"/>
      <c r="R186" s="306"/>
    </row>
    <row r="187" spans="1:18" ht="12.75" x14ac:dyDescent="0.2">
      <c r="A187" s="304"/>
      <c r="B187" s="305"/>
      <c r="M187" s="306"/>
      <c r="N187" s="306"/>
      <c r="O187" s="306"/>
      <c r="P187" s="306"/>
      <c r="Q187" s="306"/>
      <c r="R187" s="306"/>
    </row>
    <row r="188" spans="1:18" ht="12.75" x14ac:dyDescent="0.2">
      <c r="A188" s="304"/>
      <c r="B188" s="305"/>
      <c r="M188" s="306"/>
      <c r="N188" s="306"/>
      <c r="O188" s="306"/>
      <c r="P188" s="306"/>
      <c r="Q188" s="306"/>
      <c r="R188" s="306"/>
    </row>
    <row r="189" spans="1:18" ht="12.75" x14ac:dyDescent="0.2">
      <c r="A189" s="304"/>
      <c r="B189" s="305"/>
      <c r="M189" s="306"/>
      <c r="N189" s="306"/>
      <c r="O189" s="306"/>
      <c r="P189" s="306"/>
      <c r="Q189" s="306"/>
      <c r="R189" s="306"/>
    </row>
    <row r="190" spans="1:18" ht="12.75" x14ac:dyDescent="0.2">
      <c r="A190" s="304"/>
      <c r="B190" s="305"/>
      <c r="M190" s="306"/>
      <c r="N190" s="306"/>
      <c r="O190" s="306"/>
      <c r="P190" s="306"/>
      <c r="Q190" s="306"/>
      <c r="R190" s="306"/>
    </row>
    <row r="191" spans="1:18" ht="12.75" x14ac:dyDescent="0.2">
      <c r="A191" s="304"/>
      <c r="B191" s="305"/>
      <c r="M191" s="306"/>
      <c r="N191" s="306"/>
      <c r="O191" s="306"/>
      <c r="P191" s="306"/>
      <c r="Q191" s="306"/>
      <c r="R191" s="306"/>
    </row>
    <row r="192" spans="1:18" ht="12.75" x14ac:dyDescent="0.2">
      <c r="A192" s="304"/>
      <c r="B192" s="305"/>
      <c r="M192" s="306"/>
      <c r="N192" s="306"/>
      <c r="O192" s="306"/>
      <c r="P192" s="306"/>
      <c r="Q192" s="306"/>
      <c r="R192" s="306"/>
    </row>
    <row r="193" spans="1:18" ht="12.75" x14ac:dyDescent="0.2">
      <c r="A193" s="304"/>
      <c r="B193" s="305"/>
      <c r="M193" s="306"/>
      <c r="N193" s="306"/>
      <c r="O193" s="306"/>
      <c r="P193" s="306"/>
      <c r="Q193" s="306"/>
      <c r="R193" s="306"/>
    </row>
    <row r="194" spans="1:18" ht="12.75" x14ac:dyDescent="0.2">
      <c r="A194" s="304"/>
      <c r="B194" s="305"/>
      <c r="M194" s="306"/>
      <c r="N194" s="306"/>
      <c r="O194" s="306"/>
      <c r="P194" s="306"/>
      <c r="Q194" s="306"/>
      <c r="R194" s="306"/>
    </row>
    <row r="195" spans="1:18" ht="12.75" x14ac:dyDescent="0.2">
      <c r="A195" s="304"/>
      <c r="B195" s="305"/>
      <c r="M195" s="306"/>
      <c r="N195" s="306"/>
      <c r="O195" s="306"/>
      <c r="P195" s="306"/>
      <c r="Q195" s="306"/>
      <c r="R195" s="306"/>
    </row>
    <row r="196" spans="1:18" ht="12.75" x14ac:dyDescent="0.2">
      <c r="A196" s="304"/>
      <c r="B196" s="305"/>
      <c r="M196" s="306"/>
      <c r="N196" s="306"/>
      <c r="O196" s="306"/>
      <c r="P196" s="306"/>
      <c r="Q196" s="306"/>
      <c r="R196" s="306"/>
    </row>
    <row r="197" spans="1:18" ht="12.75" x14ac:dyDescent="0.2">
      <c r="A197" s="304"/>
      <c r="B197" s="305"/>
      <c r="M197" s="306"/>
      <c r="N197" s="306"/>
      <c r="O197" s="306"/>
      <c r="P197" s="306"/>
      <c r="Q197" s="306"/>
      <c r="R197" s="306"/>
    </row>
    <row r="198" spans="1:18" ht="12.75" x14ac:dyDescent="0.2">
      <c r="A198" s="304"/>
      <c r="B198" s="305"/>
      <c r="M198" s="306"/>
      <c r="N198" s="306"/>
      <c r="O198" s="306"/>
      <c r="P198" s="306"/>
      <c r="Q198" s="306"/>
      <c r="R198" s="306"/>
    </row>
    <row r="199" spans="1:18" ht="12.75" x14ac:dyDescent="0.2">
      <c r="A199" s="304"/>
      <c r="B199" s="305"/>
      <c r="M199" s="306"/>
      <c r="N199" s="306"/>
      <c r="O199" s="306"/>
      <c r="P199" s="306"/>
      <c r="Q199" s="306"/>
      <c r="R199" s="306"/>
    </row>
    <row r="200" spans="1:18" ht="12.75" x14ac:dyDescent="0.2">
      <c r="A200" s="304"/>
      <c r="B200" s="305"/>
      <c r="M200" s="306"/>
      <c r="N200" s="306"/>
      <c r="O200" s="306"/>
      <c r="P200" s="306"/>
      <c r="Q200" s="306"/>
      <c r="R200" s="306"/>
    </row>
    <row r="201" spans="1:18" ht="12.75" x14ac:dyDescent="0.2">
      <c r="A201" s="304"/>
      <c r="B201" s="305"/>
      <c r="M201" s="306"/>
      <c r="N201" s="306"/>
      <c r="O201" s="306"/>
      <c r="P201" s="306"/>
      <c r="Q201" s="306"/>
      <c r="R201" s="306"/>
    </row>
    <row r="202" spans="1:18" ht="12.75" x14ac:dyDescent="0.2">
      <c r="A202" s="304"/>
      <c r="B202" s="305"/>
      <c r="M202" s="306"/>
      <c r="N202" s="306"/>
      <c r="O202" s="306"/>
      <c r="P202" s="306"/>
      <c r="Q202" s="306"/>
      <c r="R202" s="306"/>
    </row>
    <row r="203" spans="1:18" ht="12.75" x14ac:dyDescent="0.2">
      <c r="A203" s="304"/>
      <c r="B203" s="305"/>
      <c r="M203" s="306"/>
      <c r="N203" s="306"/>
      <c r="O203" s="306"/>
      <c r="P203" s="306"/>
      <c r="Q203" s="306"/>
      <c r="R203" s="306"/>
    </row>
    <row r="204" spans="1:18" ht="12.75" x14ac:dyDescent="0.2">
      <c r="A204" s="304"/>
      <c r="B204" s="305"/>
      <c r="M204" s="306"/>
      <c r="N204" s="306"/>
      <c r="O204" s="306"/>
      <c r="P204" s="306"/>
      <c r="Q204" s="306"/>
      <c r="R204" s="306"/>
    </row>
    <row r="205" spans="1:18" ht="12.75" x14ac:dyDescent="0.2">
      <c r="A205" s="304"/>
      <c r="B205" s="305"/>
      <c r="M205" s="306"/>
      <c r="N205" s="306"/>
      <c r="O205" s="306"/>
      <c r="P205" s="306"/>
      <c r="Q205" s="306"/>
      <c r="R205" s="306"/>
    </row>
    <row r="206" spans="1:18" ht="12.75" x14ac:dyDescent="0.2">
      <c r="A206" s="304"/>
      <c r="B206" s="305"/>
      <c r="M206" s="306"/>
      <c r="N206" s="306"/>
      <c r="O206" s="306"/>
      <c r="P206" s="306"/>
      <c r="Q206" s="306"/>
      <c r="R206" s="306"/>
    </row>
    <row r="207" spans="1:18" ht="12.75" x14ac:dyDescent="0.2">
      <c r="A207" s="304"/>
      <c r="B207" s="305"/>
      <c r="M207" s="306"/>
      <c r="N207" s="306"/>
      <c r="O207" s="306"/>
      <c r="P207" s="306"/>
      <c r="Q207" s="306"/>
      <c r="R207" s="306"/>
    </row>
    <row r="208" spans="1:18" ht="12.75" x14ac:dyDescent="0.2">
      <c r="A208" s="304"/>
      <c r="B208" s="305"/>
      <c r="M208" s="306"/>
      <c r="N208" s="306"/>
      <c r="O208" s="306"/>
      <c r="P208" s="306"/>
      <c r="Q208" s="306"/>
      <c r="R208" s="306"/>
    </row>
    <row r="209" spans="1:18" ht="12.75" x14ac:dyDescent="0.2">
      <c r="A209" s="304"/>
      <c r="B209" s="305"/>
      <c r="M209" s="306"/>
      <c r="N209" s="306"/>
      <c r="O209" s="306"/>
      <c r="P209" s="306"/>
      <c r="Q209" s="306"/>
      <c r="R209" s="306"/>
    </row>
    <row r="210" spans="1:18" ht="12.75" x14ac:dyDescent="0.2">
      <c r="A210" s="304"/>
      <c r="B210" s="305"/>
      <c r="M210" s="306"/>
      <c r="N210" s="306"/>
      <c r="O210" s="306"/>
      <c r="P210" s="306"/>
      <c r="Q210" s="306"/>
      <c r="R210" s="306"/>
    </row>
    <row r="211" spans="1:18" ht="12.75" x14ac:dyDescent="0.2">
      <c r="A211" s="304"/>
      <c r="B211" s="305"/>
      <c r="M211" s="306"/>
      <c r="N211" s="306"/>
      <c r="O211" s="306"/>
      <c r="P211" s="306"/>
      <c r="Q211" s="306"/>
      <c r="R211" s="306"/>
    </row>
    <row r="212" spans="1:18" ht="12.75" x14ac:dyDescent="0.2">
      <c r="A212" s="304"/>
      <c r="B212" s="305"/>
      <c r="M212" s="306"/>
      <c r="N212" s="306"/>
      <c r="O212" s="306"/>
      <c r="P212" s="306"/>
      <c r="Q212" s="306"/>
      <c r="R212" s="306"/>
    </row>
    <row r="213" spans="1:18" ht="12.75" x14ac:dyDescent="0.2">
      <c r="A213" s="304"/>
      <c r="B213" s="305"/>
      <c r="M213" s="306"/>
      <c r="N213" s="306"/>
      <c r="O213" s="306"/>
      <c r="P213" s="306"/>
      <c r="Q213" s="306"/>
      <c r="R213" s="306"/>
    </row>
    <row r="214" spans="1:18" ht="12.75" x14ac:dyDescent="0.2">
      <c r="A214" s="304"/>
      <c r="B214" s="305"/>
      <c r="M214" s="306"/>
      <c r="N214" s="306"/>
      <c r="O214" s="306"/>
      <c r="P214" s="306"/>
      <c r="Q214" s="306"/>
      <c r="R214" s="306"/>
    </row>
    <row r="215" spans="1:18" ht="12.75" x14ac:dyDescent="0.2">
      <c r="A215" s="304"/>
      <c r="B215" s="305"/>
      <c r="M215" s="306"/>
      <c r="N215" s="306"/>
      <c r="O215" s="306"/>
      <c r="P215" s="306"/>
      <c r="Q215" s="306"/>
      <c r="R215" s="306"/>
    </row>
    <row r="216" spans="1:18" ht="12.75" x14ac:dyDescent="0.2">
      <c r="A216" s="304"/>
      <c r="B216" s="305"/>
      <c r="M216" s="306"/>
      <c r="N216" s="306"/>
      <c r="O216" s="306"/>
      <c r="P216" s="306"/>
      <c r="Q216" s="306"/>
      <c r="R216" s="306"/>
    </row>
    <row r="217" spans="1:18" ht="12.75" x14ac:dyDescent="0.2">
      <c r="A217" s="304"/>
      <c r="B217" s="305"/>
      <c r="M217" s="306"/>
      <c r="N217" s="306"/>
      <c r="O217" s="306"/>
      <c r="P217" s="306"/>
      <c r="Q217" s="306"/>
      <c r="R217" s="306"/>
    </row>
    <row r="218" spans="1:18" ht="12.75" x14ac:dyDescent="0.2">
      <c r="A218" s="304"/>
      <c r="B218" s="305"/>
      <c r="M218" s="306"/>
      <c r="N218" s="306"/>
      <c r="O218" s="306"/>
      <c r="P218" s="306"/>
      <c r="Q218" s="306"/>
      <c r="R218" s="306"/>
    </row>
    <row r="219" spans="1:18" ht="12.75" x14ac:dyDescent="0.2">
      <c r="A219" s="304"/>
      <c r="B219" s="305"/>
      <c r="M219" s="306"/>
      <c r="N219" s="306"/>
      <c r="O219" s="306"/>
      <c r="P219" s="306"/>
      <c r="Q219" s="306"/>
      <c r="R219" s="306"/>
    </row>
    <row r="220" spans="1:18" ht="12.75" x14ac:dyDescent="0.2">
      <c r="A220" s="304"/>
      <c r="B220" s="305"/>
      <c r="M220" s="306"/>
      <c r="N220" s="306"/>
      <c r="O220" s="306"/>
      <c r="P220" s="306"/>
      <c r="Q220" s="306"/>
      <c r="R220" s="306"/>
    </row>
    <row r="221" spans="1:18" ht="12.75" x14ac:dyDescent="0.2">
      <c r="A221" s="304"/>
      <c r="B221" s="305"/>
      <c r="M221" s="306"/>
      <c r="N221" s="306"/>
      <c r="O221" s="306"/>
      <c r="P221" s="306"/>
      <c r="Q221" s="306"/>
      <c r="R221" s="306"/>
    </row>
    <row r="222" spans="1:18" ht="12.75" x14ac:dyDescent="0.2">
      <c r="A222" s="304"/>
      <c r="B222" s="305"/>
      <c r="M222" s="306"/>
      <c r="N222" s="306"/>
      <c r="O222" s="306"/>
      <c r="P222" s="306"/>
      <c r="Q222" s="306"/>
      <c r="R222" s="306"/>
    </row>
    <row r="223" spans="1:18" ht="12.75" x14ac:dyDescent="0.2">
      <c r="A223" s="304"/>
      <c r="B223" s="305"/>
      <c r="M223" s="306"/>
      <c r="N223" s="306"/>
      <c r="O223" s="306"/>
      <c r="P223" s="306"/>
      <c r="Q223" s="306"/>
      <c r="R223" s="306"/>
    </row>
    <row r="224" spans="1:18" ht="12.75" x14ac:dyDescent="0.2">
      <c r="A224" s="304"/>
      <c r="B224" s="305"/>
      <c r="M224" s="306"/>
      <c r="N224" s="306"/>
      <c r="O224" s="306"/>
      <c r="P224" s="306"/>
      <c r="Q224" s="306"/>
      <c r="R224" s="306"/>
    </row>
    <row r="225" spans="1:18" ht="12.75" x14ac:dyDescent="0.2">
      <c r="A225" s="304"/>
      <c r="B225" s="305"/>
      <c r="M225" s="306"/>
      <c r="N225" s="306"/>
      <c r="O225" s="306"/>
      <c r="P225" s="306"/>
      <c r="Q225" s="306"/>
      <c r="R225" s="306"/>
    </row>
    <row r="226" spans="1:18" ht="12.75" x14ac:dyDescent="0.2">
      <c r="A226" s="304"/>
      <c r="B226" s="305"/>
      <c r="M226" s="306"/>
      <c r="N226" s="306"/>
      <c r="O226" s="306"/>
      <c r="P226" s="306"/>
      <c r="Q226" s="306"/>
      <c r="R226" s="306"/>
    </row>
    <row r="227" spans="1:18" ht="12.75" x14ac:dyDescent="0.2">
      <c r="A227" s="304"/>
      <c r="B227" s="305"/>
      <c r="M227" s="306"/>
      <c r="N227" s="306"/>
      <c r="O227" s="306"/>
      <c r="P227" s="306"/>
      <c r="Q227" s="306"/>
      <c r="R227" s="306"/>
    </row>
    <row r="228" spans="1:18" ht="12.75" x14ac:dyDescent="0.2">
      <c r="A228" s="304"/>
      <c r="B228" s="305"/>
      <c r="M228" s="306"/>
      <c r="N228" s="306"/>
      <c r="O228" s="306"/>
      <c r="P228" s="306"/>
      <c r="Q228" s="306"/>
      <c r="R228" s="306"/>
    </row>
    <row r="229" spans="1:18" ht="12.75" x14ac:dyDescent="0.2">
      <c r="A229" s="304"/>
      <c r="B229" s="305"/>
      <c r="M229" s="306"/>
      <c r="N229" s="306"/>
      <c r="O229" s="306"/>
      <c r="P229" s="306"/>
      <c r="Q229" s="306"/>
      <c r="R229" s="306"/>
    </row>
    <row r="230" spans="1:18" ht="12.75" x14ac:dyDescent="0.2">
      <c r="A230" s="304"/>
      <c r="B230" s="305"/>
      <c r="M230" s="306"/>
      <c r="N230" s="306"/>
      <c r="O230" s="306"/>
      <c r="P230" s="306"/>
      <c r="Q230" s="306"/>
      <c r="R230" s="306"/>
    </row>
    <row r="231" spans="1:18" ht="12.75" x14ac:dyDescent="0.2">
      <c r="A231" s="304"/>
      <c r="B231" s="305"/>
      <c r="M231" s="306"/>
      <c r="N231" s="306"/>
      <c r="O231" s="306"/>
      <c r="P231" s="306"/>
      <c r="Q231" s="306"/>
      <c r="R231" s="306"/>
    </row>
    <row r="232" spans="1:18" ht="12.75" x14ac:dyDescent="0.2">
      <c r="A232" s="304"/>
      <c r="B232" s="305"/>
      <c r="M232" s="306"/>
      <c r="N232" s="306"/>
      <c r="O232" s="306"/>
      <c r="P232" s="306"/>
      <c r="Q232" s="306"/>
      <c r="R232" s="306"/>
    </row>
    <row r="233" spans="1:18" ht="12.75" x14ac:dyDescent="0.2">
      <c r="A233" s="304"/>
      <c r="B233" s="305"/>
      <c r="M233" s="306"/>
      <c r="N233" s="306"/>
      <c r="O233" s="306"/>
      <c r="P233" s="306"/>
      <c r="Q233" s="306"/>
      <c r="R233" s="306"/>
    </row>
    <row r="234" spans="1:18" ht="12.75" x14ac:dyDescent="0.2">
      <c r="A234" s="304"/>
      <c r="B234" s="305"/>
      <c r="M234" s="306"/>
      <c r="N234" s="306"/>
      <c r="O234" s="306"/>
      <c r="P234" s="306"/>
      <c r="Q234" s="306"/>
      <c r="R234" s="306"/>
    </row>
    <row r="235" spans="1:18" ht="12.75" x14ac:dyDescent="0.2">
      <c r="A235" s="304"/>
      <c r="B235" s="305"/>
      <c r="M235" s="306"/>
      <c r="N235" s="306"/>
      <c r="O235" s="306"/>
      <c r="P235" s="306"/>
      <c r="Q235" s="306"/>
      <c r="R235" s="306"/>
    </row>
    <row r="236" spans="1:18" ht="12.75" x14ac:dyDescent="0.2">
      <c r="A236" s="304"/>
      <c r="B236" s="305"/>
      <c r="M236" s="306"/>
      <c r="N236" s="306"/>
      <c r="O236" s="306"/>
      <c r="P236" s="306"/>
      <c r="Q236" s="306"/>
      <c r="R236" s="306"/>
    </row>
    <row r="237" spans="1:18" ht="12.75" x14ac:dyDescent="0.2">
      <c r="A237" s="304"/>
      <c r="B237" s="305"/>
      <c r="M237" s="306"/>
      <c r="N237" s="306"/>
      <c r="O237" s="306"/>
      <c r="P237" s="306"/>
      <c r="Q237" s="306"/>
      <c r="R237" s="306"/>
    </row>
    <row r="238" spans="1:18" ht="12.75" x14ac:dyDescent="0.2">
      <c r="A238" s="304"/>
      <c r="B238" s="305"/>
      <c r="M238" s="306"/>
      <c r="N238" s="306"/>
      <c r="O238" s="306"/>
      <c r="P238" s="306"/>
      <c r="Q238" s="306"/>
      <c r="R238" s="306"/>
    </row>
    <row r="239" spans="1:18" ht="12.75" x14ac:dyDescent="0.2">
      <c r="A239" s="304"/>
      <c r="B239" s="305"/>
      <c r="M239" s="306"/>
      <c r="N239" s="306"/>
      <c r="O239" s="306"/>
      <c r="P239" s="306"/>
      <c r="Q239" s="306"/>
      <c r="R239" s="306"/>
    </row>
    <row r="240" spans="1:18" ht="12.75" x14ac:dyDescent="0.2">
      <c r="A240" s="304"/>
      <c r="B240" s="305"/>
      <c r="M240" s="306"/>
      <c r="N240" s="306"/>
      <c r="O240" s="306"/>
      <c r="P240" s="306"/>
      <c r="Q240" s="306"/>
      <c r="R240" s="306"/>
    </row>
    <row r="241" spans="1:18" ht="12.75" x14ac:dyDescent="0.2">
      <c r="A241" s="304"/>
      <c r="B241" s="305"/>
      <c r="M241" s="306"/>
      <c r="N241" s="306"/>
      <c r="O241" s="306"/>
      <c r="P241" s="306"/>
      <c r="Q241" s="306"/>
      <c r="R241" s="306"/>
    </row>
    <row r="242" spans="1:18" ht="12.75" x14ac:dyDescent="0.2">
      <c r="A242" s="304"/>
      <c r="B242" s="305"/>
      <c r="M242" s="306"/>
      <c r="N242" s="306"/>
      <c r="O242" s="306"/>
      <c r="P242" s="306"/>
      <c r="Q242" s="306"/>
      <c r="R242" s="306"/>
    </row>
    <row r="243" spans="1:18" ht="12.75" x14ac:dyDescent="0.2">
      <c r="A243" s="304"/>
      <c r="B243" s="305"/>
      <c r="M243" s="306"/>
      <c r="N243" s="306"/>
      <c r="O243" s="306"/>
      <c r="P243" s="306"/>
      <c r="Q243" s="306"/>
      <c r="R243" s="306"/>
    </row>
    <row r="244" spans="1:18" ht="12.75" x14ac:dyDescent="0.2">
      <c r="A244" s="304"/>
      <c r="B244" s="305"/>
      <c r="M244" s="306"/>
      <c r="N244" s="306"/>
      <c r="O244" s="306"/>
      <c r="P244" s="306"/>
      <c r="Q244" s="306"/>
      <c r="R244" s="306"/>
    </row>
    <row r="245" spans="1:18" ht="12.75" x14ac:dyDescent="0.2">
      <c r="A245" s="304"/>
      <c r="B245" s="305"/>
      <c r="M245" s="306"/>
      <c r="N245" s="306"/>
      <c r="O245" s="306"/>
      <c r="P245" s="306"/>
      <c r="Q245" s="306"/>
      <c r="R245" s="306"/>
    </row>
    <row r="246" spans="1:18" ht="12.75" x14ac:dyDescent="0.2">
      <c r="A246" s="304"/>
      <c r="B246" s="305"/>
      <c r="M246" s="306"/>
      <c r="N246" s="306"/>
      <c r="O246" s="306"/>
      <c r="P246" s="306"/>
      <c r="Q246" s="306"/>
      <c r="R246" s="306"/>
    </row>
    <row r="247" spans="1:18" ht="12.75" x14ac:dyDescent="0.2">
      <c r="A247" s="304"/>
      <c r="B247" s="305"/>
      <c r="M247" s="306"/>
      <c r="N247" s="306"/>
      <c r="O247" s="306"/>
      <c r="P247" s="306"/>
      <c r="Q247" s="306"/>
      <c r="R247" s="306"/>
    </row>
    <row r="248" spans="1:18" ht="12.75" x14ac:dyDescent="0.2">
      <c r="A248" s="304"/>
      <c r="B248" s="305"/>
      <c r="M248" s="306"/>
      <c r="N248" s="306"/>
      <c r="O248" s="306"/>
      <c r="P248" s="306"/>
      <c r="Q248" s="306"/>
      <c r="R248" s="306"/>
    </row>
    <row r="249" spans="1:18" ht="12.75" x14ac:dyDescent="0.2">
      <c r="A249" s="304"/>
      <c r="B249" s="305"/>
      <c r="M249" s="306"/>
      <c r="N249" s="306"/>
      <c r="O249" s="306"/>
      <c r="P249" s="306"/>
      <c r="Q249" s="306"/>
      <c r="R249" s="306"/>
    </row>
    <row r="250" spans="1:18" ht="12.75" x14ac:dyDescent="0.2">
      <c r="A250" s="304"/>
      <c r="B250" s="305"/>
      <c r="M250" s="306"/>
      <c r="N250" s="306"/>
      <c r="O250" s="306"/>
      <c r="P250" s="306"/>
      <c r="Q250" s="306"/>
      <c r="R250" s="306"/>
    </row>
    <row r="251" spans="1:18" ht="12.75" x14ac:dyDescent="0.2">
      <c r="A251" s="304"/>
      <c r="B251" s="305"/>
      <c r="M251" s="306"/>
      <c r="N251" s="306"/>
      <c r="O251" s="306"/>
      <c r="P251" s="306"/>
      <c r="Q251" s="306"/>
      <c r="R251" s="306"/>
    </row>
    <row r="252" spans="1:18" ht="12.75" x14ac:dyDescent="0.2">
      <c r="A252" s="304"/>
      <c r="B252" s="305"/>
      <c r="M252" s="306"/>
      <c r="N252" s="306"/>
      <c r="O252" s="306"/>
      <c r="P252" s="306"/>
      <c r="Q252" s="306"/>
      <c r="R252" s="306"/>
    </row>
    <row r="253" spans="1:18" ht="12.75" x14ac:dyDescent="0.2">
      <c r="A253" s="304"/>
      <c r="B253" s="305"/>
      <c r="M253" s="306"/>
      <c r="N253" s="306"/>
      <c r="O253" s="306"/>
      <c r="P253" s="306"/>
      <c r="Q253" s="306"/>
      <c r="R253" s="306"/>
    </row>
    <row r="254" spans="1:18" ht="12.75" x14ac:dyDescent="0.2">
      <c r="A254" s="304"/>
      <c r="B254" s="305"/>
      <c r="M254" s="306"/>
      <c r="N254" s="306"/>
      <c r="O254" s="306"/>
      <c r="P254" s="306"/>
      <c r="Q254" s="306"/>
      <c r="R254" s="306"/>
    </row>
    <row r="255" spans="1:18" ht="12.75" x14ac:dyDescent="0.2">
      <c r="A255" s="304"/>
      <c r="B255" s="305"/>
      <c r="M255" s="306"/>
      <c r="N255" s="306"/>
      <c r="O255" s="306"/>
      <c r="P255" s="306"/>
      <c r="Q255" s="306"/>
      <c r="R255" s="306"/>
    </row>
    <row r="256" spans="1:18" ht="12.75" x14ac:dyDescent="0.2">
      <c r="A256" s="304"/>
      <c r="B256" s="305"/>
      <c r="M256" s="306"/>
      <c r="N256" s="306"/>
      <c r="O256" s="306"/>
      <c r="P256" s="306"/>
      <c r="Q256" s="306"/>
      <c r="R256" s="306"/>
    </row>
    <row r="257" spans="1:18" ht="12.75" x14ac:dyDescent="0.2">
      <c r="A257" s="304"/>
      <c r="B257" s="305"/>
      <c r="M257" s="306"/>
      <c r="N257" s="306"/>
      <c r="O257" s="306"/>
      <c r="P257" s="306"/>
      <c r="Q257" s="306"/>
      <c r="R257" s="306"/>
    </row>
    <row r="258" spans="1:18" ht="12.75" x14ac:dyDescent="0.2">
      <c r="A258" s="304"/>
      <c r="B258" s="305"/>
      <c r="M258" s="306"/>
      <c r="N258" s="306"/>
      <c r="O258" s="306"/>
      <c r="P258" s="306"/>
      <c r="Q258" s="306"/>
      <c r="R258" s="306"/>
    </row>
    <row r="259" spans="1:18" ht="12.75" x14ac:dyDescent="0.2">
      <c r="A259" s="304"/>
      <c r="B259" s="305"/>
      <c r="M259" s="306"/>
      <c r="N259" s="306"/>
      <c r="O259" s="306"/>
      <c r="P259" s="306"/>
      <c r="Q259" s="306"/>
      <c r="R259" s="306"/>
    </row>
    <row r="260" spans="1:18" ht="12.75" x14ac:dyDescent="0.2">
      <c r="A260" s="304"/>
      <c r="B260" s="305"/>
      <c r="M260" s="306"/>
      <c r="N260" s="306"/>
      <c r="O260" s="306"/>
      <c r="P260" s="306"/>
      <c r="Q260" s="306"/>
      <c r="R260" s="306"/>
    </row>
    <row r="261" spans="1:18" ht="12.75" x14ac:dyDescent="0.2">
      <c r="A261" s="304"/>
      <c r="B261" s="305"/>
      <c r="M261" s="306"/>
      <c r="N261" s="306"/>
      <c r="O261" s="306"/>
      <c r="P261" s="306"/>
      <c r="Q261" s="306"/>
      <c r="R261" s="306"/>
    </row>
    <row r="262" spans="1:18" ht="12.75" x14ac:dyDescent="0.2">
      <c r="A262" s="304"/>
      <c r="B262" s="305"/>
      <c r="M262" s="306"/>
      <c r="N262" s="306"/>
      <c r="O262" s="306"/>
      <c r="P262" s="306"/>
      <c r="Q262" s="306"/>
      <c r="R262" s="306"/>
    </row>
    <row r="263" spans="1:18" ht="12.75" x14ac:dyDescent="0.2">
      <c r="A263" s="304"/>
      <c r="B263" s="305"/>
      <c r="M263" s="306"/>
      <c r="N263" s="306"/>
      <c r="O263" s="306"/>
      <c r="P263" s="306"/>
      <c r="Q263" s="306"/>
      <c r="R263" s="306"/>
    </row>
    <row r="264" spans="1:18" ht="12.75" x14ac:dyDescent="0.2">
      <c r="A264" s="304"/>
      <c r="B264" s="305"/>
      <c r="M264" s="306"/>
      <c r="N264" s="306"/>
      <c r="O264" s="306"/>
      <c r="P264" s="306"/>
      <c r="Q264" s="306"/>
      <c r="R264" s="306"/>
    </row>
    <row r="265" spans="1:18" ht="12.75" x14ac:dyDescent="0.2">
      <c r="A265" s="304"/>
      <c r="B265" s="305"/>
      <c r="M265" s="306"/>
      <c r="N265" s="306"/>
      <c r="O265" s="306"/>
      <c r="P265" s="306"/>
      <c r="Q265" s="306"/>
      <c r="R265" s="306"/>
    </row>
    <row r="266" spans="1:18" ht="12.75" x14ac:dyDescent="0.2">
      <c r="A266" s="304"/>
      <c r="B266" s="305"/>
      <c r="M266" s="306"/>
      <c r="N266" s="306"/>
      <c r="O266" s="306"/>
      <c r="P266" s="306"/>
      <c r="Q266" s="306"/>
      <c r="R266" s="306"/>
    </row>
    <row r="267" spans="1:18" ht="12.75" x14ac:dyDescent="0.2">
      <c r="A267" s="304"/>
      <c r="B267" s="305"/>
      <c r="M267" s="306"/>
      <c r="N267" s="306"/>
      <c r="O267" s="306"/>
      <c r="P267" s="306"/>
      <c r="Q267" s="306"/>
      <c r="R267" s="306"/>
    </row>
    <row r="268" spans="1:18" ht="12.75" x14ac:dyDescent="0.2">
      <c r="A268" s="304"/>
      <c r="B268" s="305"/>
      <c r="M268" s="306"/>
      <c r="N268" s="306"/>
      <c r="O268" s="306"/>
      <c r="P268" s="306"/>
      <c r="Q268" s="306"/>
      <c r="R268" s="306"/>
    </row>
    <row r="269" spans="1:18" ht="12.75" x14ac:dyDescent="0.2">
      <c r="A269" s="304"/>
      <c r="B269" s="305"/>
      <c r="M269" s="306"/>
      <c r="N269" s="306"/>
      <c r="O269" s="306"/>
      <c r="P269" s="306"/>
      <c r="Q269" s="306"/>
      <c r="R269" s="306"/>
    </row>
    <row r="270" spans="1:18" ht="12.75" x14ac:dyDescent="0.2">
      <c r="A270" s="304"/>
      <c r="B270" s="305"/>
      <c r="M270" s="306"/>
      <c r="N270" s="306"/>
      <c r="O270" s="306"/>
      <c r="P270" s="306"/>
      <c r="Q270" s="306"/>
      <c r="R270" s="306"/>
    </row>
    <row r="271" spans="1:18" ht="12.75" x14ac:dyDescent="0.2">
      <c r="A271" s="304"/>
      <c r="B271" s="305"/>
      <c r="M271" s="306"/>
      <c r="N271" s="306"/>
      <c r="O271" s="306"/>
      <c r="P271" s="306"/>
      <c r="Q271" s="306"/>
      <c r="R271" s="306"/>
    </row>
    <row r="272" spans="1:18" ht="12.75" x14ac:dyDescent="0.2">
      <c r="A272" s="304"/>
      <c r="B272" s="305"/>
      <c r="M272" s="306"/>
      <c r="N272" s="306"/>
      <c r="O272" s="306"/>
      <c r="P272" s="306"/>
      <c r="Q272" s="306"/>
      <c r="R272" s="306"/>
    </row>
    <row r="273" spans="1:18" ht="12.75" x14ac:dyDescent="0.2">
      <c r="A273" s="304"/>
      <c r="B273" s="305"/>
      <c r="M273" s="306"/>
      <c r="N273" s="306"/>
      <c r="O273" s="306"/>
      <c r="P273" s="306"/>
      <c r="Q273" s="306"/>
      <c r="R273" s="306"/>
    </row>
    <row r="274" spans="1:18" ht="12.75" x14ac:dyDescent="0.2">
      <c r="A274" s="304"/>
      <c r="B274" s="305"/>
      <c r="M274" s="306"/>
      <c r="N274" s="306"/>
      <c r="O274" s="306"/>
      <c r="P274" s="306"/>
      <c r="Q274" s="306"/>
      <c r="R274" s="306"/>
    </row>
    <row r="275" spans="1:18" ht="12.75" x14ac:dyDescent="0.2">
      <c r="A275" s="304"/>
      <c r="B275" s="305"/>
      <c r="M275" s="306"/>
      <c r="N275" s="306"/>
      <c r="O275" s="306"/>
      <c r="P275" s="306"/>
      <c r="Q275" s="306"/>
      <c r="R275" s="306"/>
    </row>
    <row r="276" spans="1:18" ht="12.75" x14ac:dyDescent="0.2">
      <c r="A276" s="304"/>
      <c r="B276" s="305"/>
      <c r="M276" s="306"/>
      <c r="N276" s="306"/>
      <c r="O276" s="306"/>
      <c r="P276" s="306"/>
      <c r="Q276" s="306"/>
      <c r="R276" s="306"/>
    </row>
    <row r="277" spans="1:18" ht="12.75" x14ac:dyDescent="0.2">
      <c r="A277" s="304"/>
      <c r="B277" s="305"/>
      <c r="M277" s="306"/>
      <c r="N277" s="306"/>
      <c r="O277" s="306"/>
      <c r="P277" s="306"/>
      <c r="Q277" s="306"/>
      <c r="R277" s="306"/>
    </row>
    <row r="278" spans="1:18" ht="12.75" x14ac:dyDescent="0.2">
      <c r="A278" s="304"/>
      <c r="B278" s="305"/>
      <c r="M278" s="306"/>
      <c r="N278" s="306"/>
      <c r="O278" s="306"/>
      <c r="P278" s="306"/>
      <c r="Q278" s="306"/>
      <c r="R278" s="306"/>
    </row>
    <row r="279" spans="1:18" ht="12.75" x14ac:dyDescent="0.2">
      <c r="A279" s="304"/>
      <c r="B279" s="305"/>
      <c r="M279" s="306"/>
      <c r="N279" s="306"/>
      <c r="O279" s="306"/>
      <c r="P279" s="306"/>
      <c r="Q279" s="306"/>
      <c r="R279" s="306"/>
    </row>
    <row r="280" spans="1:18" ht="12.75" x14ac:dyDescent="0.2">
      <c r="A280" s="304"/>
      <c r="B280" s="305"/>
      <c r="M280" s="306"/>
      <c r="N280" s="306"/>
      <c r="O280" s="306"/>
      <c r="P280" s="306"/>
      <c r="Q280" s="306"/>
      <c r="R280" s="306"/>
    </row>
    <row r="281" spans="1:18" ht="12.75" x14ac:dyDescent="0.2">
      <c r="A281" s="304"/>
      <c r="B281" s="305"/>
      <c r="M281" s="306"/>
      <c r="N281" s="306"/>
      <c r="O281" s="306"/>
      <c r="P281" s="306"/>
      <c r="Q281" s="306"/>
      <c r="R281" s="306"/>
    </row>
    <row r="282" spans="1:18" ht="12.75" x14ac:dyDescent="0.2">
      <c r="A282" s="304"/>
      <c r="B282" s="305"/>
      <c r="M282" s="306"/>
      <c r="N282" s="306"/>
      <c r="O282" s="306"/>
      <c r="P282" s="306"/>
      <c r="Q282" s="306"/>
      <c r="R282" s="306"/>
    </row>
    <row r="283" spans="1:18" ht="12.75" x14ac:dyDescent="0.2">
      <c r="A283" s="304"/>
      <c r="B283" s="305"/>
      <c r="M283" s="306"/>
      <c r="N283" s="306"/>
      <c r="O283" s="306"/>
      <c r="P283" s="306"/>
      <c r="Q283" s="306"/>
      <c r="R283" s="306"/>
    </row>
    <row r="284" spans="1:18" ht="12.75" x14ac:dyDescent="0.2">
      <c r="A284" s="304"/>
      <c r="B284" s="305"/>
      <c r="M284" s="306"/>
      <c r="N284" s="306"/>
      <c r="O284" s="306"/>
      <c r="P284" s="306"/>
      <c r="Q284" s="306"/>
      <c r="R284" s="306"/>
    </row>
    <row r="285" spans="1:18" ht="12.75" x14ac:dyDescent="0.2">
      <c r="A285" s="304"/>
      <c r="B285" s="305"/>
      <c r="M285" s="306"/>
      <c r="N285" s="306"/>
      <c r="O285" s="306"/>
      <c r="P285" s="306"/>
      <c r="Q285" s="306"/>
      <c r="R285" s="306"/>
    </row>
    <row r="286" spans="1:18" ht="12.75" x14ac:dyDescent="0.2">
      <c r="A286" s="304"/>
      <c r="B286" s="305"/>
      <c r="M286" s="306"/>
      <c r="N286" s="306"/>
      <c r="O286" s="306"/>
      <c r="P286" s="306"/>
      <c r="Q286" s="306"/>
      <c r="R286" s="306"/>
    </row>
    <row r="287" spans="1:18" ht="12.75" x14ac:dyDescent="0.2">
      <c r="A287" s="304"/>
      <c r="B287" s="305"/>
      <c r="M287" s="306"/>
      <c r="N287" s="306"/>
      <c r="O287" s="306"/>
      <c r="P287" s="306"/>
      <c r="Q287" s="306"/>
      <c r="R287" s="306"/>
    </row>
    <row r="288" spans="1:18" ht="12.75" x14ac:dyDescent="0.2">
      <c r="A288" s="304"/>
      <c r="B288" s="305"/>
      <c r="M288" s="306"/>
      <c r="N288" s="306"/>
      <c r="O288" s="306"/>
      <c r="P288" s="306"/>
      <c r="Q288" s="306"/>
      <c r="R288" s="306"/>
    </row>
    <row r="289" spans="1:18" ht="12.75" x14ac:dyDescent="0.2">
      <c r="A289" s="304"/>
      <c r="B289" s="305"/>
      <c r="M289" s="306"/>
      <c r="N289" s="306"/>
      <c r="O289" s="306"/>
      <c r="P289" s="306"/>
      <c r="Q289" s="306"/>
      <c r="R289" s="306"/>
    </row>
    <row r="290" spans="1:18" ht="12.75" x14ac:dyDescent="0.2">
      <c r="A290" s="304"/>
      <c r="B290" s="305"/>
      <c r="M290" s="306"/>
      <c r="N290" s="306"/>
      <c r="O290" s="306"/>
      <c r="P290" s="306"/>
      <c r="Q290" s="306"/>
      <c r="R290" s="306"/>
    </row>
    <row r="291" spans="1:18" ht="12.75" x14ac:dyDescent="0.2">
      <c r="A291" s="304"/>
      <c r="B291" s="305"/>
      <c r="M291" s="306"/>
      <c r="N291" s="306"/>
      <c r="O291" s="306"/>
      <c r="P291" s="306"/>
      <c r="Q291" s="306"/>
      <c r="R291" s="306"/>
    </row>
    <row r="292" spans="1:18" ht="12.75" x14ac:dyDescent="0.2">
      <c r="A292" s="304"/>
      <c r="B292" s="305"/>
      <c r="M292" s="306"/>
      <c r="N292" s="306"/>
      <c r="O292" s="306"/>
      <c r="P292" s="306"/>
      <c r="Q292" s="306"/>
      <c r="R292" s="306"/>
    </row>
    <row r="293" spans="1:18" ht="12.75" x14ac:dyDescent="0.2">
      <c r="A293" s="304"/>
      <c r="B293" s="305"/>
      <c r="M293" s="306"/>
      <c r="N293" s="306"/>
      <c r="O293" s="306"/>
      <c r="P293" s="306"/>
      <c r="Q293" s="306"/>
      <c r="R293" s="306"/>
    </row>
    <row r="294" spans="1:18" ht="12.75" x14ac:dyDescent="0.2">
      <c r="A294" s="304"/>
      <c r="B294" s="305"/>
      <c r="M294" s="306"/>
      <c r="N294" s="306"/>
      <c r="O294" s="306"/>
      <c r="P294" s="306"/>
      <c r="Q294" s="306"/>
      <c r="R294" s="306"/>
    </row>
    <row r="295" spans="1:18" ht="12.75" x14ac:dyDescent="0.2">
      <c r="A295" s="304"/>
      <c r="B295" s="305"/>
      <c r="M295" s="306"/>
      <c r="N295" s="306"/>
      <c r="O295" s="306"/>
      <c r="P295" s="306"/>
      <c r="Q295" s="306"/>
      <c r="R295" s="306"/>
    </row>
    <row r="296" spans="1:18" ht="12.75" x14ac:dyDescent="0.2">
      <c r="A296" s="304"/>
      <c r="B296" s="305"/>
      <c r="M296" s="306"/>
      <c r="N296" s="306"/>
      <c r="O296" s="306"/>
      <c r="P296" s="306"/>
      <c r="Q296" s="306"/>
      <c r="R296" s="306"/>
    </row>
    <row r="297" spans="1:18" ht="12.75" x14ac:dyDescent="0.2">
      <c r="A297" s="304"/>
      <c r="B297" s="305"/>
      <c r="M297" s="306"/>
      <c r="N297" s="306"/>
      <c r="O297" s="306"/>
      <c r="P297" s="306"/>
      <c r="Q297" s="306"/>
      <c r="R297" s="306"/>
    </row>
    <row r="298" spans="1:18" ht="12.75" x14ac:dyDescent="0.2">
      <c r="A298" s="304"/>
      <c r="B298" s="305"/>
      <c r="M298" s="306"/>
      <c r="N298" s="306"/>
      <c r="O298" s="306"/>
      <c r="P298" s="306"/>
      <c r="Q298" s="306"/>
      <c r="R298" s="306"/>
    </row>
    <row r="299" spans="1:18" ht="12.75" x14ac:dyDescent="0.2">
      <c r="A299" s="304"/>
      <c r="B299" s="305"/>
      <c r="M299" s="306"/>
      <c r="N299" s="306"/>
      <c r="O299" s="306"/>
      <c r="P299" s="306"/>
      <c r="Q299" s="306"/>
      <c r="R299" s="306"/>
    </row>
    <row r="300" spans="1:18" ht="12.75" x14ac:dyDescent="0.2">
      <c r="A300" s="304"/>
      <c r="B300" s="305"/>
      <c r="M300" s="306"/>
      <c r="N300" s="306"/>
      <c r="O300" s="306"/>
      <c r="P300" s="306"/>
      <c r="Q300" s="306"/>
      <c r="R300" s="306"/>
    </row>
    <row r="301" spans="1:18" ht="12.75" x14ac:dyDescent="0.2">
      <c r="A301" s="304"/>
      <c r="B301" s="305"/>
      <c r="M301" s="306"/>
      <c r="N301" s="306"/>
      <c r="O301" s="306"/>
      <c r="P301" s="306"/>
      <c r="Q301" s="306"/>
      <c r="R301" s="306"/>
    </row>
    <row r="302" spans="1:18" ht="12.75" x14ac:dyDescent="0.2">
      <c r="A302" s="304"/>
      <c r="B302" s="305"/>
      <c r="M302" s="306"/>
      <c r="N302" s="306"/>
      <c r="O302" s="306"/>
      <c r="P302" s="306"/>
      <c r="Q302" s="306"/>
      <c r="R302" s="306"/>
    </row>
    <row r="303" spans="1:18" ht="12.75" x14ac:dyDescent="0.2">
      <c r="A303" s="304"/>
      <c r="B303" s="305"/>
      <c r="M303" s="306"/>
      <c r="N303" s="306"/>
      <c r="O303" s="306"/>
      <c r="P303" s="306"/>
      <c r="Q303" s="306"/>
      <c r="R303" s="306"/>
    </row>
    <row r="304" spans="1:18" ht="12.75" x14ac:dyDescent="0.2">
      <c r="A304" s="304"/>
      <c r="B304" s="305"/>
      <c r="M304" s="306"/>
      <c r="N304" s="306"/>
      <c r="O304" s="306"/>
      <c r="P304" s="306"/>
      <c r="Q304" s="306"/>
      <c r="R304" s="306"/>
    </row>
    <row r="305" spans="1:18" ht="12.75" x14ac:dyDescent="0.2">
      <c r="A305" s="304"/>
      <c r="B305" s="305"/>
      <c r="M305" s="306"/>
      <c r="N305" s="306"/>
      <c r="O305" s="306"/>
      <c r="P305" s="306"/>
      <c r="Q305" s="306"/>
      <c r="R305" s="306"/>
    </row>
    <row r="306" spans="1:18" ht="12.75" x14ac:dyDescent="0.2">
      <c r="A306" s="304"/>
      <c r="B306" s="305"/>
      <c r="M306" s="306"/>
      <c r="N306" s="306"/>
      <c r="O306" s="306"/>
      <c r="P306" s="306"/>
      <c r="Q306" s="306"/>
      <c r="R306" s="306"/>
    </row>
    <row r="307" spans="1:18" ht="12.75" x14ac:dyDescent="0.2">
      <c r="A307" s="304"/>
      <c r="B307" s="305"/>
      <c r="M307" s="306"/>
      <c r="N307" s="306"/>
      <c r="O307" s="306"/>
      <c r="P307" s="306"/>
      <c r="Q307" s="306"/>
      <c r="R307" s="306"/>
    </row>
    <row r="308" spans="1:18" ht="12.75" x14ac:dyDescent="0.2">
      <c r="A308" s="304"/>
      <c r="B308" s="305"/>
      <c r="M308" s="306"/>
      <c r="N308" s="306"/>
      <c r="O308" s="306"/>
      <c r="P308" s="306"/>
      <c r="Q308" s="306"/>
      <c r="R308" s="306"/>
    </row>
    <row r="309" spans="1:18" ht="12.75" x14ac:dyDescent="0.2">
      <c r="A309" s="304"/>
      <c r="B309" s="305"/>
      <c r="M309" s="306"/>
      <c r="N309" s="306"/>
      <c r="O309" s="306"/>
      <c r="P309" s="306"/>
      <c r="Q309" s="306"/>
      <c r="R309" s="306"/>
    </row>
    <row r="310" spans="1:18" ht="12.75" x14ac:dyDescent="0.2">
      <c r="A310" s="304"/>
      <c r="B310" s="305"/>
      <c r="M310" s="306"/>
      <c r="N310" s="306"/>
      <c r="O310" s="306"/>
      <c r="P310" s="306"/>
      <c r="Q310" s="306"/>
      <c r="R310" s="306"/>
    </row>
    <row r="311" spans="1:18" ht="12.75" x14ac:dyDescent="0.2">
      <c r="A311" s="304"/>
      <c r="B311" s="305"/>
      <c r="M311" s="306"/>
      <c r="N311" s="306"/>
      <c r="O311" s="306"/>
      <c r="P311" s="306"/>
      <c r="Q311" s="306"/>
      <c r="R311" s="306"/>
    </row>
    <row r="312" spans="1:18" ht="12.75" x14ac:dyDescent="0.2">
      <c r="A312" s="304"/>
      <c r="B312" s="305"/>
      <c r="M312" s="306"/>
      <c r="N312" s="306"/>
      <c r="O312" s="306"/>
      <c r="P312" s="306"/>
      <c r="Q312" s="306"/>
      <c r="R312" s="306"/>
    </row>
    <row r="313" spans="1:18" ht="12.75" x14ac:dyDescent="0.2">
      <c r="A313" s="304"/>
      <c r="B313" s="305"/>
      <c r="M313" s="306"/>
      <c r="N313" s="306"/>
      <c r="O313" s="306"/>
      <c r="P313" s="306"/>
      <c r="Q313" s="306"/>
      <c r="R313" s="306"/>
    </row>
    <row r="314" spans="1:18" ht="12.75" x14ac:dyDescent="0.2">
      <c r="A314" s="304"/>
      <c r="B314" s="305"/>
      <c r="M314" s="306"/>
      <c r="N314" s="306"/>
      <c r="O314" s="306"/>
      <c r="P314" s="306"/>
      <c r="Q314" s="306"/>
      <c r="R314" s="306"/>
    </row>
    <row r="315" spans="1:18" ht="12.75" x14ac:dyDescent="0.2">
      <c r="A315" s="304"/>
      <c r="B315" s="305"/>
      <c r="M315" s="306"/>
      <c r="N315" s="306"/>
      <c r="O315" s="306"/>
      <c r="P315" s="306"/>
      <c r="Q315" s="306"/>
      <c r="R315" s="306"/>
    </row>
    <row r="316" spans="1:18" ht="12.75" x14ac:dyDescent="0.2">
      <c r="A316" s="304"/>
      <c r="B316" s="305"/>
      <c r="M316" s="306"/>
      <c r="N316" s="306"/>
      <c r="O316" s="306"/>
      <c r="P316" s="306"/>
      <c r="Q316" s="306"/>
      <c r="R316" s="306"/>
    </row>
    <row r="317" spans="1:18" ht="12.75" x14ac:dyDescent="0.2">
      <c r="A317" s="304"/>
      <c r="B317" s="305"/>
      <c r="M317" s="306"/>
      <c r="N317" s="306"/>
      <c r="O317" s="306"/>
      <c r="P317" s="306"/>
      <c r="Q317" s="306"/>
      <c r="R317" s="306"/>
    </row>
    <row r="318" spans="1:18" ht="12.75" x14ac:dyDescent="0.2">
      <c r="A318" s="304"/>
      <c r="B318" s="305"/>
      <c r="M318" s="306"/>
      <c r="N318" s="306"/>
      <c r="O318" s="306"/>
      <c r="P318" s="306"/>
      <c r="Q318" s="306"/>
      <c r="R318" s="306"/>
    </row>
    <row r="319" spans="1:18" ht="12.75" x14ac:dyDescent="0.2">
      <c r="A319" s="304"/>
      <c r="B319" s="305"/>
      <c r="M319" s="306"/>
      <c r="N319" s="306"/>
      <c r="O319" s="306"/>
      <c r="P319" s="306"/>
      <c r="Q319" s="306"/>
      <c r="R319" s="306"/>
    </row>
    <row r="320" spans="1:18" ht="12.75" x14ac:dyDescent="0.2">
      <c r="A320" s="304"/>
      <c r="B320" s="305"/>
      <c r="M320" s="306"/>
      <c r="N320" s="306"/>
      <c r="O320" s="306"/>
      <c r="P320" s="306"/>
      <c r="Q320" s="306"/>
      <c r="R320" s="306"/>
    </row>
    <row r="321" spans="1:18" ht="12.75" x14ac:dyDescent="0.2">
      <c r="A321" s="304"/>
      <c r="B321" s="305"/>
      <c r="M321" s="306"/>
      <c r="N321" s="306"/>
      <c r="O321" s="306"/>
      <c r="P321" s="306"/>
      <c r="Q321" s="306"/>
      <c r="R321" s="306"/>
    </row>
    <row r="322" spans="1:18" ht="12.75" x14ac:dyDescent="0.2">
      <c r="A322" s="304"/>
      <c r="B322" s="305"/>
      <c r="M322" s="306"/>
      <c r="N322" s="306"/>
      <c r="O322" s="306"/>
      <c r="P322" s="306"/>
      <c r="Q322" s="306"/>
      <c r="R322" s="306"/>
    </row>
    <row r="323" spans="1:18" ht="12.75" x14ac:dyDescent="0.2">
      <c r="A323" s="304"/>
      <c r="B323" s="305"/>
      <c r="M323" s="306"/>
      <c r="N323" s="306"/>
      <c r="O323" s="306"/>
      <c r="P323" s="306"/>
      <c r="Q323" s="306"/>
      <c r="R323" s="306"/>
    </row>
    <row r="324" spans="1:18" ht="12.75" x14ac:dyDescent="0.2">
      <c r="A324" s="304"/>
      <c r="B324" s="305"/>
      <c r="M324" s="306"/>
      <c r="N324" s="306"/>
      <c r="O324" s="306"/>
      <c r="P324" s="306"/>
      <c r="Q324" s="306"/>
      <c r="R324" s="306"/>
    </row>
    <row r="325" spans="1:18" ht="12.75" x14ac:dyDescent="0.2">
      <c r="A325" s="304"/>
      <c r="B325" s="305"/>
      <c r="M325" s="306"/>
      <c r="N325" s="306"/>
      <c r="O325" s="306"/>
      <c r="P325" s="306"/>
      <c r="Q325" s="306"/>
      <c r="R325" s="306"/>
    </row>
    <row r="326" spans="1:18" ht="12.75" x14ac:dyDescent="0.2">
      <c r="A326" s="304"/>
      <c r="B326" s="305"/>
      <c r="M326" s="306"/>
      <c r="N326" s="306"/>
      <c r="O326" s="306"/>
      <c r="P326" s="306"/>
      <c r="Q326" s="306"/>
      <c r="R326" s="306"/>
    </row>
    <row r="327" spans="1:18" ht="12.75" x14ac:dyDescent="0.2">
      <c r="A327" s="304"/>
      <c r="B327" s="305"/>
      <c r="M327" s="306"/>
      <c r="N327" s="306"/>
      <c r="O327" s="306"/>
      <c r="P327" s="306"/>
      <c r="Q327" s="306"/>
      <c r="R327" s="306"/>
    </row>
    <row r="328" spans="1:18" ht="12.75" x14ac:dyDescent="0.2">
      <c r="A328" s="304"/>
      <c r="B328" s="305"/>
      <c r="M328" s="306"/>
      <c r="N328" s="306"/>
      <c r="O328" s="306"/>
      <c r="P328" s="306"/>
      <c r="Q328" s="306"/>
      <c r="R328" s="306"/>
    </row>
    <row r="329" spans="1:18" ht="12.75" x14ac:dyDescent="0.2">
      <c r="A329" s="304"/>
      <c r="B329" s="305"/>
      <c r="M329" s="306"/>
      <c r="N329" s="306"/>
      <c r="O329" s="306"/>
      <c r="P329" s="306"/>
      <c r="Q329" s="306"/>
      <c r="R329" s="306"/>
    </row>
    <row r="330" spans="1:18" ht="12.75" x14ac:dyDescent="0.2">
      <c r="A330" s="304"/>
      <c r="B330" s="305"/>
      <c r="M330" s="306"/>
      <c r="N330" s="306"/>
      <c r="O330" s="306"/>
      <c r="P330" s="306"/>
      <c r="Q330" s="306"/>
      <c r="R330" s="306"/>
    </row>
    <row r="331" spans="1:18" ht="12.75" x14ac:dyDescent="0.2">
      <c r="A331" s="304"/>
      <c r="B331" s="305"/>
      <c r="M331" s="306"/>
      <c r="N331" s="306"/>
      <c r="O331" s="306"/>
      <c r="P331" s="306"/>
      <c r="Q331" s="306"/>
      <c r="R331" s="306"/>
    </row>
    <row r="332" spans="1:18" ht="12.75" x14ac:dyDescent="0.2">
      <c r="A332" s="304"/>
      <c r="B332" s="305"/>
      <c r="M332" s="306"/>
      <c r="N332" s="306"/>
      <c r="O332" s="306"/>
      <c r="P332" s="306"/>
      <c r="Q332" s="306"/>
      <c r="R332" s="306"/>
    </row>
    <row r="333" spans="1:18" ht="12.75" x14ac:dyDescent="0.2">
      <c r="A333" s="304"/>
      <c r="B333" s="305"/>
      <c r="M333" s="306"/>
      <c r="N333" s="306"/>
      <c r="O333" s="306"/>
      <c r="P333" s="306"/>
      <c r="Q333" s="306"/>
      <c r="R333" s="306"/>
    </row>
    <row r="334" spans="1:18" ht="12.75" x14ac:dyDescent="0.2">
      <c r="A334" s="304"/>
      <c r="B334" s="305"/>
      <c r="M334" s="306"/>
      <c r="N334" s="306"/>
      <c r="O334" s="306"/>
      <c r="P334" s="306"/>
      <c r="Q334" s="306"/>
      <c r="R334" s="306"/>
    </row>
    <row r="335" spans="1:18" ht="12.75" x14ac:dyDescent="0.2">
      <c r="A335" s="304"/>
      <c r="B335" s="305"/>
      <c r="M335" s="306"/>
      <c r="N335" s="306"/>
      <c r="O335" s="306"/>
      <c r="P335" s="306"/>
      <c r="Q335" s="306"/>
      <c r="R335" s="306"/>
    </row>
    <row r="336" spans="1:18" ht="12.75" x14ac:dyDescent="0.2">
      <c r="A336" s="304"/>
      <c r="B336" s="305"/>
      <c r="M336" s="306"/>
      <c r="N336" s="306"/>
      <c r="O336" s="306"/>
      <c r="P336" s="306"/>
      <c r="Q336" s="306"/>
      <c r="R336" s="306"/>
    </row>
    <row r="337" spans="1:18" ht="12.75" x14ac:dyDescent="0.2">
      <c r="A337" s="304"/>
      <c r="B337" s="305"/>
      <c r="M337" s="306"/>
      <c r="N337" s="306"/>
      <c r="O337" s="306"/>
      <c r="P337" s="306"/>
      <c r="Q337" s="306"/>
      <c r="R337" s="306"/>
    </row>
    <row r="338" spans="1:18" ht="12.75" x14ac:dyDescent="0.2">
      <c r="A338" s="304"/>
      <c r="B338" s="305"/>
      <c r="M338" s="306"/>
      <c r="N338" s="306"/>
      <c r="O338" s="306"/>
      <c r="P338" s="306"/>
      <c r="Q338" s="306"/>
      <c r="R338" s="306"/>
    </row>
    <row r="339" spans="1:18" ht="12.75" x14ac:dyDescent="0.2">
      <c r="A339" s="304"/>
      <c r="B339" s="305"/>
      <c r="M339" s="306"/>
      <c r="N339" s="306"/>
      <c r="O339" s="306"/>
      <c r="P339" s="306"/>
      <c r="Q339" s="306"/>
      <c r="R339" s="306"/>
    </row>
    <row r="340" spans="1:18" ht="12.75" x14ac:dyDescent="0.2">
      <c r="A340" s="304"/>
      <c r="B340" s="305"/>
      <c r="M340" s="306"/>
      <c r="N340" s="306"/>
      <c r="O340" s="306"/>
      <c r="P340" s="306"/>
      <c r="Q340" s="306"/>
      <c r="R340" s="306"/>
    </row>
    <row r="341" spans="1:18" ht="12.75" x14ac:dyDescent="0.2">
      <c r="A341" s="304"/>
      <c r="B341" s="305"/>
      <c r="M341" s="306"/>
      <c r="N341" s="306"/>
      <c r="O341" s="306"/>
      <c r="P341" s="306"/>
      <c r="Q341" s="306"/>
      <c r="R341" s="306"/>
    </row>
    <row r="342" spans="1:18" ht="12.75" x14ac:dyDescent="0.2">
      <c r="A342" s="304"/>
      <c r="B342" s="305"/>
      <c r="M342" s="306"/>
      <c r="N342" s="306"/>
      <c r="O342" s="306"/>
      <c r="P342" s="306"/>
      <c r="Q342" s="306"/>
      <c r="R342" s="306"/>
    </row>
    <row r="343" spans="1:18" ht="12.75" x14ac:dyDescent="0.2">
      <c r="A343" s="304"/>
      <c r="B343" s="305"/>
      <c r="M343" s="306"/>
      <c r="N343" s="306"/>
      <c r="O343" s="306"/>
      <c r="P343" s="306"/>
      <c r="Q343" s="306"/>
      <c r="R343" s="306"/>
    </row>
    <row r="344" spans="1:18" ht="12.75" x14ac:dyDescent="0.2">
      <c r="A344" s="304"/>
      <c r="B344" s="305"/>
      <c r="M344" s="306"/>
      <c r="N344" s="306"/>
      <c r="O344" s="306"/>
      <c r="P344" s="306"/>
      <c r="Q344" s="306"/>
      <c r="R344" s="306"/>
    </row>
    <row r="345" spans="1:18" ht="12.75" x14ac:dyDescent="0.2">
      <c r="A345" s="304"/>
      <c r="B345" s="305"/>
      <c r="M345" s="306"/>
      <c r="N345" s="306"/>
      <c r="O345" s="306"/>
      <c r="P345" s="306"/>
      <c r="Q345" s="306"/>
      <c r="R345" s="306"/>
    </row>
    <row r="346" spans="1:18" ht="12.75" x14ac:dyDescent="0.2">
      <c r="A346" s="304"/>
      <c r="B346" s="305"/>
      <c r="M346" s="306"/>
      <c r="N346" s="306"/>
      <c r="O346" s="306"/>
      <c r="P346" s="306"/>
      <c r="Q346" s="306"/>
      <c r="R346" s="306"/>
    </row>
    <row r="347" spans="1:18" ht="12.75" x14ac:dyDescent="0.2">
      <c r="A347" s="304"/>
      <c r="B347" s="305"/>
      <c r="M347" s="306"/>
      <c r="N347" s="306"/>
      <c r="O347" s="306"/>
      <c r="P347" s="306"/>
      <c r="Q347" s="306"/>
      <c r="R347" s="306"/>
    </row>
    <row r="348" spans="1:18" ht="12.75" x14ac:dyDescent="0.2">
      <c r="A348" s="304"/>
      <c r="B348" s="305"/>
      <c r="M348" s="306"/>
      <c r="N348" s="306"/>
      <c r="O348" s="306"/>
      <c r="P348" s="306"/>
      <c r="Q348" s="306"/>
      <c r="R348" s="306"/>
    </row>
    <row r="349" spans="1:18" ht="12.75" x14ac:dyDescent="0.2">
      <c r="A349" s="304"/>
      <c r="B349" s="305"/>
      <c r="M349" s="306"/>
      <c r="N349" s="306"/>
      <c r="O349" s="306"/>
      <c r="P349" s="306"/>
      <c r="Q349" s="306"/>
      <c r="R349" s="306"/>
    </row>
    <row r="350" spans="1:18" ht="12.75" x14ac:dyDescent="0.2">
      <c r="A350" s="304"/>
      <c r="B350" s="305"/>
      <c r="M350" s="306"/>
      <c r="N350" s="306"/>
      <c r="O350" s="306"/>
      <c r="P350" s="306"/>
      <c r="Q350" s="306"/>
      <c r="R350" s="306"/>
    </row>
    <row r="351" spans="1:18" ht="12.75" x14ac:dyDescent="0.2">
      <c r="A351" s="304"/>
      <c r="B351" s="305"/>
      <c r="M351" s="306"/>
      <c r="N351" s="306"/>
      <c r="O351" s="306"/>
      <c r="P351" s="306"/>
      <c r="Q351" s="306"/>
      <c r="R351" s="306"/>
    </row>
    <row r="352" spans="1:18" ht="12.75" x14ac:dyDescent="0.2">
      <c r="A352" s="304"/>
      <c r="B352" s="305"/>
      <c r="M352" s="306"/>
      <c r="N352" s="306"/>
      <c r="O352" s="306"/>
      <c r="P352" s="306"/>
      <c r="Q352" s="306"/>
      <c r="R352" s="306"/>
    </row>
    <row r="353" spans="1:18" ht="12.75" x14ac:dyDescent="0.2">
      <c r="A353" s="304"/>
      <c r="B353" s="305"/>
      <c r="M353" s="306"/>
      <c r="N353" s="306"/>
      <c r="O353" s="306"/>
      <c r="P353" s="306"/>
      <c r="Q353" s="306"/>
      <c r="R353" s="306"/>
    </row>
    <row r="354" spans="1:18" ht="12.75" x14ac:dyDescent="0.2">
      <c r="A354" s="304"/>
      <c r="B354" s="305"/>
      <c r="M354" s="306"/>
      <c r="N354" s="306"/>
      <c r="O354" s="306"/>
      <c r="P354" s="306"/>
      <c r="Q354" s="306"/>
      <c r="R354" s="306"/>
    </row>
    <row r="355" spans="1:18" ht="12.75" x14ac:dyDescent="0.2">
      <c r="A355" s="304"/>
      <c r="B355" s="305"/>
      <c r="M355" s="306"/>
      <c r="N355" s="306"/>
      <c r="O355" s="306"/>
      <c r="P355" s="306"/>
      <c r="Q355" s="306"/>
      <c r="R355" s="306"/>
    </row>
    <row r="356" spans="1:18" ht="12.75" x14ac:dyDescent="0.2">
      <c r="A356" s="304"/>
      <c r="B356" s="305"/>
      <c r="M356" s="306"/>
      <c r="N356" s="306"/>
      <c r="O356" s="306"/>
      <c r="P356" s="306"/>
      <c r="Q356" s="306"/>
      <c r="R356" s="306"/>
    </row>
    <row r="357" spans="1:18" ht="12.75" x14ac:dyDescent="0.2">
      <c r="A357" s="304"/>
      <c r="B357" s="305"/>
      <c r="M357" s="306"/>
      <c r="N357" s="306"/>
      <c r="O357" s="306"/>
      <c r="P357" s="306"/>
      <c r="Q357" s="306"/>
      <c r="R357" s="306"/>
    </row>
    <row r="358" spans="1:18" ht="12.75" x14ac:dyDescent="0.2">
      <c r="A358" s="304"/>
      <c r="B358" s="305"/>
      <c r="M358" s="306"/>
      <c r="N358" s="306"/>
      <c r="O358" s="306"/>
      <c r="P358" s="306"/>
      <c r="Q358" s="306"/>
      <c r="R358" s="306"/>
    </row>
    <row r="359" spans="1:18" ht="12.75" x14ac:dyDescent="0.2">
      <c r="A359" s="304"/>
      <c r="B359" s="305"/>
      <c r="M359" s="306"/>
      <c r="N359" s="306"/>
      <c r="O359" s="306"/>
      <c r="P359" s="306"/>
      <c r="Q359" s="306"/>
      <c r="R359" s="306"/>
    </row>
    <row r="360" spans="1:18" ht="12.75" x14ac:dyDescent="0.2">
      <c r="A360" s="304"/>
      <c r="B360" s="305"/>
      <c r="M360" s="306"/>
      <c r="N360" s="306"/>
      <c r="O360" s="306"/>
      <c r="P360" s="306"/>
      <c r="Q360" s="306"/>
      <c r="R360" s="306"/>
    </row>
    <row r="361" spans="1:18" ht="12.75" x14ac:dyDescent="0.2">
      <c r="A361" s="304"/>
      <c r="B361" s="305"/>
      <c r="M361" s="306"/>
      <c r="N361" s="306"/>
      <c r="O361" s="306"/>
      <c r="P361" s="306"/>
      <c r="Q361" s="306"/>
      <c r="R361" s="306"/>
    </row>
    <row r="362" spans="1:18" ht="12.75" x14ac:dyDescent="0.2">
      <c r="A362" s="304"/>
      <c r="B362" s="305"/>
      <c r="M362" s="306"/>
      <c r="N362" s="306"/>
      <c r="O362" s="306"/>
      <c r="P362" s="306"/>
      <c r="Q362" s="306"/>
      <c r="R362" s="306"/>
    </row>
    <row r="363" spans="1:18" ht="12.75" x14ac:dyDescent="0.2">
      <c r="A363" s="304"/>
      <c r="B363" s="305"/>
      <c r="M363" s="306"/>
      <c r="N363" s="306"/>
      <c r="O363" s="306"/>
      <c r="P363" s="306"/>
      <c r="Q363" s="306"/>
      <c r="R363" s="306"/>
    </row>
    <row r="364" spans="1:18" ht="12.75" x14ac:dyDescent="0.2">
      <c r="A364" s="304"/>
      <c r="B364" s="305"/>
      <c r="M364" s="306"/>
      <c r="N364" s="306"/>
      <c r="O364" s="306"/>
      <c r="P364" s="306"/>
      <c r="Q364" s="306"/>
      <c r="R364" s="306"/>
    </row>
    <row r="365" spans="1:18" ht="12.75" x14ac:dyDescent="0.2">
      <c r="A365" s="304"/>
      <c r="B365" s="305"/>
      <c r="M365" s="306"/>
      <c r="N365" s="306"/>
      <c r="O365" s="306"/>
      <c r="P365" s="306"/>
      <c r="Q365" s="306"/>
      <c r="R365" s="306"/>
    </row>
    <row r="366" spans="1:18" ht="12.75" x14ac:dyDescent="0.2">
      <c r="A366" s="304"/>
      <c r="B366" s="305"/>
      <c r="M366" s="306"/>
      <c r="N366" s="306"/>
      <c r="O366" s="306"/>
      <c r="P366" s="306"/>
      <c r="Q366" s="306"/>
      <c r="R366" s="306"/>
    </row>
    <row r="367" spans="1:18" ht="12.75" x14ac:dyDescent="0.2">
      <c r="A367" s="304"/>
      <c r="B367" s="305"/>
      <c r="M367" s="306"/>
      <c r="N367" s="306"/>
      <c r="O367" s="306"/>
      <c r="P367" s="306"/>
      <c r="Q367" s="306"/>
      <c r="R367" s="306"/>
    </row>
    <row r="368" spans="1:18" ht="12.75" x14ac:dyDescent="0.2">
      <c r="A368" s="304"/>
      <c r="B368" s="305"/>
      <c r="M368" s="306"/>
      <c r="N368" s="306"/>
      <c r="O368" s="306"/>
      <c r="P368" s="306"/>
      <c r="Q368" s="306"/>
      <c r="R368" s="306"/>
    </row>
    <row r="369" spans="1:18" ht="12.75" x14ac:dyDescent="0.2">
      <c r="A369" s="304"/>
      <c r="B369" s="305"/>
      <c r="M369" s="306"/>
      <c r="N369" s="306"/>
      <c r="O369" s="306"/>
      <c r="P369" s="306"/>
      <c r="Q369" s="306"/>
      <c r="R369" s="306"/>
    </row>
    <row r="370" spans="1:18" ht="12.75" x14ac:dyDescent="0.2">
      <c r="A370" s="304"/>
      <c r="B370" s="305"/>
      <c r="M370" s="306"/>
      <c r="N370" s="306"/>
      <c r="O370" s="306"/>
      <c r="P370" s="306"/>
      <c r="Q370" s="306"/>
      <c r="R370" s="306"/>
    </row>
    <row r="371" spans="1:18" ht="12.75" x14ac:dyDescent="0.2">
      <c r="A371" s="304"/>
      <c r="B371" s="305"/>
      <c r="M371" s="306"/>
      <c r="N371" s="306"/>
      <c r="O371" s="306"/>
      <c r="P371" s="306"/>
      <c r="Q371" s="306"/>
      <c r="R371" s="306"/>
    </row>
    <row r="372" spans="1:18" ht="12.75" x14ac:dyDescent="0.2">
      <c r="A372" s="304"/>
      <c r="B372" s="305"/>
      <c r="M372" s="306"/>
      <c r="N372" s="306"/>
      <c r="O372" s="306"/>
      <c r="P372" s="306"/>
      <c r="Q372" s="306"/>
      <c r="R372" s="306"/>
    </row>
    <row r="373" spans="1:18" ht="12.75" x14ac:dyDescent="0.2">
      <c r="A373" s="304"/>
      <c r="B373" s="305"/>
      <c r="M373" s="306"/>
      <c r="N373" s="306"/>
      <c r="O373" s="306"/>
      <c r="P373" s="306"/>
      <c r="Q373" s="306"/>
      <c r="R373" s="306"/>
    </row>
    <row r="374" spans="1:18" ht="12.75" x14ac:dyDescent="0.2">
      <c r="A374" s="304"/>
      <c r="B374" s="305"/>
      <c r="M374" s="306"/>
      <c r="N374" s="306"/>
      <c r="O374" s="306"/>
      <c r="P374" s="306"/>
      <c r="Q374" s="306"/>
      <c r="R374" s="306"/>
    </row>
    <row r="375" spans="1:18" ht="12.75" x14ac:dyDescent="0.2">
      <c r="A375" s="304"/>
      <c r="B375" s="305"/>
      <c r="M375" s="306"/>
      <c r="N375" s="306"/>
      <c r="O375" s="306"/>
      <c r="P375" s="306"/>
      <c r="Q375" s="306"/>
      <c r="R375" s="306"/>
    </row>
    <row r="376" spans="1:18" ht="12.75" x14ac:dyDescent="0.2">
      <c r="A376" s="304"/>
      <c r="B376" s="305"/>
      <c r="M376" s="306"/>
      <c r="N376" s="306"/>
      <c r="O376" s="306"/>
      <c r="P376" s="306"/>
      <c r="Q376" s="306"/>
      <c r="R376" s="306"/>
    </row>
    <row r="377" spans="1:18" ht="12.75" x14ac:dyDescent="0.2">
      <c r="A377" s="304"/>
      <c r="B377" s="305"/>
      <c r="M377" s="306"/>
      <c r="N377" s="306"/>
      <c r="O377" s="306"/>
      <c r="P377" s="306"/>
      <c r="Q377" s="306"/>
      <c r="R377" s="306"/>
    </row>
    <row r="378" spans="1:18" ht="12.75" x14ac:dyDescent="0.2">
      <c r="A378" s="304"/>
      <c r="B378" s="305"/>
      <c r="M378" s="306"/>
      <c r="N378" s="306"/>
      <c r="O378" s="306"/>
      <c r="P378" s="306"/>
      <c r="Q378" s="306"/>
      <c r="R378" s="306"/>
    </row>
    <row r="379" spans="1:18" ht="12.75" x14ac:dyDescent="0.2">
      <c r="A379" s="304"/>
      <c r="B379" s="305"/>
      <c r="M379" s="306"/>
      <c r="N379" s="306"/>
      <c r="O379" s="306"/>
      <c r="P379" s="306"/>
      <c r="Q379" s="306"/>
      <c r="R379" s="306"/>
    </row>
    <row r="380" spans="1:18" ht="12.75" x14ac:dyDescent="0.2">
      <c r="A380" s="304"/>
      <c r="B380" s="305"/>
      <c r="M380" s="306"/>
      <c r="N380" s="306"/>
      <c r="O380" s="306"/>
      <c r="P380" s="306"/>
      <c r="Q380" s="306"/>
      <c r="R380" s="306"/>
    </row>
    <row r="381" spans="1:18" ht="12.75" x14ac:dyDescent="0.2">
      <c r="A381" s="304"/>
      <c r="B381" s="305"/>
      <c r="M381" s="306"/>
      <c r="N381" s="306"/>
      <c r="O381" s="306"/>
      <c r="P381" s="306"/>
      <c r="Q381" s="306"/>
      <c r="R381" s="306"/>
    </row>
    <row r="382" spans="1:18" ht="12.75" x14ac:dyDescent="0.2">
      <c r="A382" s="304"/>
      <c r="B382" s="305"/>
      <c r="M382" s="306"/>
      <c r="N382" s="306"/>
      <c r="O382" s="306"/>
      <c r="P382" s="306"/>
      <c r="Q382" s="306"/>
      <c r="R382" s="306"/>
    </row>
    <row r="383" spans="1:18" ht="12.75" x14ac:dyDescent="0.2">
      <c r="A383" s="304"/>
      <c r="B383" s="305"/>
      <c r="M383" s="306"/>
      <c r="N383" s="306"/>
      <c r="O383" s="306"/>
      <c r="P383" s="306"/>
      <c r="Q383" s="306"/>
      <c r="R383" s="306"/>
    </row>
    <row r="384" spans="1:18" ht="12.75" x14ac:dyDescent="0.2">
      <c r="A384" s="304"/>
      <c r="B384" s="305"/>
      <c r="M384" s="306"/>
      <c r="N384" s="306"/>
      <c r="O384" s="306"/>
      <c r="P384" s="306"/>
      <c r="Q384" s="306"/>
      <c r="R384" s="306"/>
    </row>
    <row r="385" spans="1:18" ht="12.75" x14ac:dyDescent="0.2">
      <c r="A385" s="304"/>
      <c r="B385" s="305"/>
      <c r="M385" s="306"/>
      <c r="N385" s="306"/>
      <c r="O385" s="306"/>
      <c r="P385" s="306"/>
      <c r="Q385" s="306"/>
      <c r="R385" s="306"/>
    </row>
    <row r="386" spans="1:18" ht="12.75" x14ac:dyDescent="0.2">
      <c r="A386" s="304"/>
      <c r="B386" s="305"/>
      <c r="M386" s="306"/>
      <c r="N386" s="306"/>
      <c r="O386" s="306"/>
      <c r="P386" s="306"/>
      <c r="Q386" s="306"/>
      <c r="R386" s="306"/>
    </row>
    <row r="387" spans="1:18" ht="12.75" x14ac:dyDescent="0.2">
      <c r="A387" s="304"/>
      <c r="B387" s="305"/>
      <c r="M387" s="306"/>
      <c r="N387" s="306"/>
      <c r="O387" s="306"/>
      <c r="P387" s="306"/>
      <c r="Q387" s="306"/>
      <c r="R387" s="306"/>
    </row>
    <row r="388" spans="1:18" ht="12.75" x14ac:dyDescent="0.2">
      <c r="A388" s="304"/>
      <c r="B388" s="305"/>
      <c r="M388" s="306"/>
      <c r="N388" s="306"/>
      <c r="O388" s="306"/>
      <c r="P388" s="306"/>
      <c r="Q388" s="306"/>
      <c r="R388" s="306"/>
    </row>
    <row r="389" spans="1:18" ht="12.75" x14ac:dyDescent="0.2">
      <c r="A389" s="304"/>
      <c r="B389" s="305"/>
      <c r="M389" s="306"/>
      <c r="N389" s="306"/>
      <c r="O389" s="306"/>
      <c r="P389" s="306"/>
      <c r="Q389" s="306"/>
      <c r="R389" s="306"/>
    </row>
    <row r="390" spans="1:18" ht="12.75" x14ac:dyDescent="0.2">
      <c r="A390" s="304"/>
      <c r="B390" s="305"/>
      <c r="M390" s="306"/>
      <c r="N390" s="306"/>
      <c r="O390" s="306"/>
      <c r="P390" s="306"/>
      <c r="Q390" s="306"/>
      <c r="R390" s="306"/>
    </row>
    <row r="391" spans="1:18" ht="12.75" x14ac:dyDescent="0.2">
      <c r="A391" s="304"/>
      <c r="B391" s="305"/>
      <c r="M391" s="306"/>
      <c r="N391" s="306"/>
      <c r="O391" s="306"/>
      <c r="P391" s="306"/>
      <c r="Q391" s="306"/>
      <c r="R391" s="306"/>
    </row>
    <row r="392" spans="1:18" ht="12.75" x14ac:dyDescent="0.2">
      <c r="A392" s="304"/>
      <c r="B392" s="305"/>
      <c r="M392" s="306"/>
      <c r="N392" s="306"/>
      <c r="O392" s="306"/>
      <c r="P392" s="306"/>
      <c r="Q392" s="306"/>
      <c r="R392" s="306"/>
    </row>
    <row r="393" spans="1:18" ht="12.75" x14ac:dyDescent="0.2">
      <c r="A393" s="304"/>
      <c r="B393" s="305"/>
      <c r="M393" s="306"/>
      <c r="N393" s="306"/>
      <c r="O393" s="306"/>
      <c r="P393" s="306"/>
      <c r="Q393" s="306"/>
      <c r="R393" s="306"/>
    </row>
    <row r="394" spans="1:18" ht="12.75" x14ac:dyDescent="0.2">
      <c r="A394" s="304"/>
      <c r="B394" s="305"/>
      <c r="M394" s="306"/>
      <c r="N394" s="306"/>
      <c r="O394" s="306"/>
      <c r="P394" s="306"/>
      <c r="Q394" s="306"/>
      <c r="R394" s="306"/>
    </row>
    <row r="395" spans="1:18" ht="12.75" x14ac:dyDescent="0.2">
      <c r="A395" s="304"/>
      <c r="B395" s="305"/>
      <c r="M395" s="306"/>
      <c r="N395" s="306"/>
      <c r="O395" s="306"/>
      <c r="P395" s="306"/>
      <c r="Q395" s="306"/>
      <c r="R395" s="306"/>
    </row>
    <row r="396" spans="1:18" ht="12.75" x14ac:dyDescent="0.2">
      <c r="A396" s="304"/>
      <c r="B396" s="305"/>
      <c r="M396" s="306"/>
      <c r="N396" s="306"/>
      <c r="O396" s="306"/>
      <c r="P396" s="306"/>
      <c r="Q396" s="306"/>
      <c r="R396" s="306"/>
    </row>
    <row r="397" spans="1:18" ht="12.75" x14ac:dyDescent="0.2">
      <c r="A397" s="304"/>
      <c r="B397" s="305"/>
      <c r="M397" s="306"/>
      <c r="N397" s="306"/>
      <c r="O397" s="306"/>
      <c r="P397" s="306"/>
      <c r="Q397" s="306"/>
      <c r="R397" s="306"/>
    </row>
    <row r="398" spans="1:18" ht="12.75" x14ac:dyDescent="0.2">
      <c r="A398" s="304"/>
      <c r="B398" s="305"/>
      <c r="M398" s="306"/>
      <c r="N398" s="306"/>
      <c r="O398" s="306"/>
      <c r="P398" s="306"/>
      <c r="Q398" s="306"/>
      <c r="R398" s="306"/>
    </row>
    <row r="399" spans="1:18" ht="12.75" x14ac:dyDescent="0.2">
      <c r="A399" s="304"/>
      <c r="B399" s="305"/>
      <c r="M399" s="306"/>
      <c r="N399" s="306"/>
      <c r="O399" s="306"/>
      <c r="P399" s="306"/>
      <c r="Q399" s="306"/>
      <c r="R399" s="306"/>
    </row>
    <row r="400" spans="1:18" ht="12.75" x14ac:dyDescent="0.2">
      <c r="A400" s="304"/>
      <c r="B400" s="305"/>
      <c r="M400" s="306"/>
      <c r="N400" s="306"/>
      <c r="O400" s="306"/>
      <c r="P400" s="306"/>
      <c r="Q400" s="306"/>
      <c r="R400" s="306"/>
    </row>
    <row r="401" spans="1:18" ht="12.75" x14ac:dyDescent="0.2">
      <c r="A401" s="304"/>
      <c r="B401" s="305"/>
      <c r="M401" s="306"/>
      <c r="N401" s="306"/>
      <c r="O401" s="306"/>
      <c r="P401" s="306"/>
      <c r="Q401" s="306"/>
      <c r="R401" s="306"/>
    </row>
    <row r="402" spans="1:18" ht="12.75" x14ac:dyDescent="0.2">
      <c r="A402" s="304"/>
      <c r="B402" s="305"/>
      <c r="M402" s="306"/>
      <c r="N402" s="306"/>
      <c r="O402" s="306"/>
      <c r="P402" s="306"/>
      <c r="Q402" s="306"/>
      <c r="R402" s="306"/>
    </row>
    <row r="403" spans="1:18" ht="12.75" x14ac:dyDescent="0.2">
      <c r="A403" s="304"/>
      <c r="B403" s="305"/>
      <c r="M403" s="306"/>
      <c r="N403" s="306"/>
      <c r="O403" s="306"/>
      <c r="P403" s="306"/>
      <c r="Q403" s="306"/>
      <c r="R403" s="306"/>
    </row>
    <row r="404" spans="1:18" ht="12.75" x14ac:dyDescent="0.2">
      <c r="A404" s="304"/>
      <c r="B404" s="305"/>
      <c r="M404" s="306"/>
      <c r="N404" s="306"/>
      <c r="O404" s="306"/>
      <c r="P404" s="306"/>
      <c r="Q404" s="306"/>
      <c r="R404" s="306"/>
    </row>
    <row r="405" spans="1:18" ht="12.75" x14ac:dyDescent="0.2">
      <c r="A405" s="304"/>
      <c r="B405" s="305"/>
      <c r="M405" s="306"/>
      <c r="N405" s="306"/>
      <c r="O405" s="306"/>
      <c r="P405" s="306"/>
      <c r="Q405" s="306"/>
      <c r="R405" s="306"/>
    </row>
    <row r="406" spans="1:18" ht="12.75" x14ac:dyDescent="0.2">
      <c r="A406" s="304"/>
      <c r="B406" s="305"/>
      <c r="M406" s="306"/>
      <c r="N406" s="306"/>
      <c r="O406" s="306"/>
      <c r="P406" s="306"/>
      <c r="Q406" s="306"/>
      <c r="R406" s="306"/>
    </row>
    <row r="407" spans="1:18" ht="12.75" x14ac:dyDescent="0.2">
      <c r="A407" s="304"/>
      <c r="B407" s="305"/>
      <c r="M407" s="306"/>
      <c r="N407" s="306"/>
      <c r="O407" s="306"/>
      <c r="P407" s="306"/>
      <c r="Q407" s="306"/>
      <c r="R407" s="306"/>
    </row>
    <row r="408" spans="1:18" ht="12.75" x14ac:dyDescent="0.2">
      <c r="A408" s="304"/>
      <c r="B408" s="305"/>
      <c r="M408" s="306"/>
      <c r="N408" s="306"/>
      <c r="O408" s="306"/>
      <c r="P408" s="306"/>
      <c r="Q408" s="306"/>
      <c r="R408" s="306"/>
    </row>
    <row r="409" spans="1:18" ht="12.75" x14ac:dyDescent="0.2">
      <c r="A409" s="304"/>
      <c r="B409" s="305"/>
      <c r="M409" s="306"/>
      <c r="N409" s="306"/>
      <c r="O409" s="306"/>
      <c r="P409" s="306"/>
      <c r="Q409" s="306"/>
      <c r="R409" s="306"/>
    </row>
    <row r="410" spans="1:18" ht="12.75" x14ac:dyDescent="0.2">
      <c r="A410" s="304"/>
      <c r="B410" s="305"/>
      <c r="M410" s="306"/>
      <c r="N410" s="306"/>
      <c r="O410" s="306"/>
      <c r="P410" s="306"/>
      <c r="Q410" s="306"/>
      <c r="R410" s="306"/>
    </row>
    <row r="411" spans="1:18" ht="12.75" x14ac:dyDescent="0.2">
      <c r="A411" s="304"/>
      <c r="B411" s="305"/>
      <c r="M411" s="306"/>
      <c r="N411" s="306"/>
      <c r="O411" s="306"/>
      <c r="P411" s="306"/>
      <c r="Q411" s="306"/>
      <c r="R411" s="306"/>
    </row>
    <row r="412" spans="1:18" ht="12.75" x14ac:dyDescent="0.2">
      <c r="A412" s="304"/>
      <c r="B412" s="305"/>
      <c r="M412" s="306"/>
      <c r="N412" s="306"/>
      <c r="O412" s="306"/>
      <c r="P412" s="306"/>
      <c r="Q412" s="306"/>
      <c r="R412" s="306"/>
    </row>
    <row r="413" spans="1:18" ht="12.75" x14ac:dyDescent="0.2">
      <c r="A413" s="304"/>
      <c r="B413" s="305"/>
      <c r="M413" s="306"/>
      <c r="N413" s="306"/>
      <c r="O413" s="306"/>
      <c r="P413" s="306"/>
      <c r="Q413" s="306"/>
      <c r="R413" s="306"/>
    </row>
    <row r="414" spans="1:18" ht="12.75" x14ac:dyDescent="0.2">
      <c r="A414" s="304"/>
      <c r="B414" s="305"/>
      <c r="M414" s="306"/>
      <c r="N414" s="306"/>
      <c r="O414" s="306"/>
      <c r="P414" s="306"/>
      <c r="Q414" s="306"/>
      <c r="R414" s="306"/>
    </row>
    <row r="415" spans="1:18" ht="12.75" x14ac:dyDescent="0.2">
      <c r="A415" s="304"/>
      <c r="B415" s="305"/>
      <c r="M415" s="306"/>
      <c r="N415" s="306"/>
      <c r="O415" s="306"/>
      <c r="P415" s="306"/>
      <c r="Q415" s="306"/>
      <c r="R415" s="306"/>
    </row>
    <row r="416" spans="1:18" ht="12.75" x14ac:dyDescent="0.2">
      <c r="A416" s="304"/>
      <c r="B416" s="305"/>
      <c r="M416" s="306"/>
      <c r="N416" s="306"/>
      <c r="O416" s="306"/>
      <c r="P416" s="306"/>
      <c r="Q416" s="306"/>
      <c r="R416" s="306"/>
    </row>
    <row r="417" spans="1:18" ht="12.75" x14ac:dyDescent="0.2">
      <c r="A417" s="304"/>
      <c r="B417" s="305"/>
      <c r="M417" s="306"/>
      <c r="N417" s="306"/>
      <c r="O417" s="306"/>
      <c r="P417" s="306"/>
      <c r="Q417" s="306"/>
      <c r="R417" s="306"/>
    </row>
    <row r="418" spans="1:18" ht="12.75" x14ac:dyDescent="0.2">
      <c r="A418" s="304"/>
      <c r="B418" s="305"/>
      <c r="M418" s="306"/>
      <c r="N418" s="306"/>
      <c r="O418" s="306"/>
      <c r="P418" s="306"/>
      <c r="Q418" s="306"/>
      <c r="R418" s="306"/>
    </row>
    <row r="419" spans="1:18" ht="12.75" x14ac:dyDescent="0.2">
      <c r="A419" s="304"/>
      <c r="B419" s="305"/>
      <c r="M419" s="306"/>
      <c r="N419" s="306"/>
      <c r="O419" s="306"/>
      <c r="P419" s="306"/>
      <c r="Q419" s="306"/>
      <c r="R419" s="306"/>
    </row>
    <row r="420" spans="1:18" ht="12.75" x14ac:dyDescent="0.2">
      <c r="A420" s="304"/>
      <c r="B420" s="305"/>
      <c r="M420" s="306"/>
      <c r="N420" s="306"/>
      <c r="O420" s="306"/>
      <c r="P420" s="306"/>
      <c r="Q420" s="306"/>
      <c r="R420" s="306"/>
    </row>
    <row r="421" spans="1:18" ht="12.75" x14ac:dyDescent="0.2">
      <c r="A421" s="304"/>
      <c r="B421" s="305"/>
      <c r="M421" s="306"/>
      <c r="N421" s="306"/>
      <c r="O421" s="306"/>
      <c r="P421" s="306"/>
      <c r="Q421" s="306"/>
      <c r="R421" s="306"/>
    </row>
    <row r="422" spans="1:18" ht="12.75" x14ac:dyDescent="0.2">
      <c r="A422" s="304"/>
      <c r="B422" s="305"/>
      <c r="M422" s="306"/>
      <c r="N422" s="306"/>
      <c r="O422" s="306"/>
      <c r="P422" s="306"/>
      <c r="Q422" s="306"/>
      <c r="R422" s="306"/>
    </row>
    <row r="423" spans="1:18" ht="12.75" x14ac:dyDescent="0.2">
      <c r="A423" s="304"/>
      <c r="B423" s="305"/>
      <c r="M423" s="306"/>
      <c r="N423" s="306"/>
      <c r="O423" s="306"/>
      <c r="P423" s="306"/>
      <c r="Q423" s="306"/>
      <c r="R423" s="306"/>
    </row>
    <row r="424" spans="1:18" ht="12.75" x14ac:dyDescent="0.2">
      <c r="A424" s="304"/>
      <c r="B424" s="305"/>
      <c r="M424" s="306"/>
      <c r="N424" s="306"/>
      <c r="O424" s="306"/>
      <c r="P424" s="306"/>
      <c r="Q424" s="306"/>
      <c r="R424" s="306"/>
    </row>
    <row r="425" spans="1:18" ht="12.75" x14ac:dyDescent="0.2">
      <c r="A425" s="304"/>
      <c r="B425" s="305"/>
      <c r="M425" s="306"/>
      <c r="N425" s="306"/>
      <c r="O425" s="306"/>
      <c r="P425" s="306"/>
      <c r="Q425" s="306"/>
      <c r="R425" s="306"/>
    </row>
    <row r="426" spans="1:18" ht="12.75" x14ac:dyDescent="0.2">
      <c r="A426" s="304"/>
      <c r="B426" s="305"/>
      <c r="M426" s="306"/>
      <c r="N426" s="306"/>
      <c r="O426" s="306"/>
      <c r="P426" s="306"/>
      <c r="Q426" s="306"/>
      <c r="R426" s="306"/>
    </row>
    <row r="427" spans="1:18" ht="12.75" x14ac:dyDescent="0.2">
      <c r="A427" s="304"/>
      <c r="B427" s="305"/>
      <c r="M427" s="306"/>
      <c r="N427" s="306"/>
      <c r="O427" s="306"/>
      <c r="P427" s="306"/>
      <c r="Q427" s="306"/>
      <c r="R427" s="306"/>
    </row>
    <row r="428" spans="1:18" ht="12.75" x14ac:dyDescent="0.2">
      <c r="A428" s="304"/>
      <c r="B428" s="305"/>
      <c r="M428" s="306"/>
      <c r="N428" s="306"/>
      <c r="O428" s="306"/>
      <c r="P428" s="306"/>
      <c r="Q428" s="306"/>
      <c r="R428" s="306"/>
    </row>
    <row r="429" spans="1:18" ht="12.75" x14ac:dyDescent="0.2">
      <c r="A429" s="304"/>
      <c r="B429" s="305"/>
      <c r="M429" s="306"/>
      <c r="N429" s="306"/>
      <c r="O429" s="306"/>
      <c r="P429" s="306"/>
      <c r="Q429" s="306"/>
      <c r="R429" s="306"/>
    </row>
    <row r="430" spans="1:18" ht="12.75" x14ac:dyDescent="0.2">
      <c r="A430" s="304"/>
      <c r="B430" s="305"/>
      <c r="M430" s="306"/>
      <c r="N430" s="306"/>
      <c r="O430" s="306"/>
      <c r="P430" s="306"/>
      <c r="Q430" s="306"/>
      <c r="R430" s="306"/>
    </row>
    <row r="431" spans="1:18" ht="12.75" x14ac:dyDescent="0.2">
      <c r="A431" s="304"/>
      <c r="B431" s="305"/>
      <c r="M431" s="306"/>
      <c r="N431" s="306"/>
      <c r="O431" s="306"/>
      <c r="P431" s="306"/>
      <c r="Q431" s="306"/>
      <c r="R431" s="306"/>
    </row>
    <row r="432" spans="1:18" ht="12.75" x14ac:dyDescent="0.2">
      <c r="A432" s="304"/>
      <c r="B432" s="305"/>
      <c r="M432" s="306"/>
      <c r="N432" s="306"/>
      <c r="O432" s="306"/>
      <c r="P432" s="306"/>
      <c r="Q432" s="306"/>
      <c r="R432" s="306"/>
    </row>
    <row r="433" spans="1:18" ht="12.75" x14ac:dyDescent="0.2">
      <c r="A433" s="304"/>
      <c r="B433" s="305"/>
      <c r="M433" s="306"/>
      <c r="N433" s="306"/>
      <c r="O433" s="306"/>
      <c r="P433" s="306"/>
      <c r="Q433" s="306"/>
      <c r="R433" s="306"/>
    </row>
    <row r="434" spans="1:18" ht="12.75" x14ac:dyDescent="0.2">
      <c r="A434" s="304"/>
      <c r="B434" s="305"/>
      <c r="M434" s="306"/>
      <c r="N434" s="306"/>
      <c r="O434" s="306"/>
      <c r="P434" s="306"/>
      <c r="Q434" s="306"/>
      <c r="R434" s="306"/>
    </row>
    <row r="435" spans="1:18" ht="12.75" x14ac:dyDescent="0.2">
      <c r="A435" s="304"/>
      <c r="B435" s="305"/>
      <c r="M435" s="306"/>
      <c r="N435" s="306"/>
      <c r="O435" s="306"/>
      <c r="P435" s="306"/>
      <c r="Q435" s="306"/>
      <c r="R435" s="306"/>
    </row>
    <row r="436" spans="1:18" ht="12.75" x14ac:dyDescent="0.2">
      <c r="A436" s="304"/>
      <c r="B436" s="305"/>
      <c r="M436" s="306"/>
      <c r="N436" s="306"/>
      <c r="O436" s="306"/>
      <c r="P436" s="306"/>
      <c r="Q436" s="306"/>
      <c r="R436" s="306"/>
    </row>
    <row r="437" spans="1:18" ht="12.75" x14ac:dyDescent="0.2">
      <c r="A437" s="304"/>
      <c r="B437" s="305"/>
      <c r="M437" s="306"/>
      <c r="N437" s="306"/>
      <c r="O437" s="306"/>
      <c r="P437" s="306"/>
      <c r="Q437" s="306"/>
      <c r="R437" s="306"/>
    </row>
    <row r="438" spans="1:18" ht="12.75" x14ac:dyDescent="0.2">
      <c r="A438" s="304"/>
      <c r="B438" s="305"/>
      <c r="M438" s="306"/>
      <c r="N438" s="306"/>
      <c r="O438" s="306"/>
      <c r="P438" s="306"/>
      <c r="Q438" s="306"/>
      <c r="R438" s="306"/>
    </row>
    <row r="439" spans="1:18" ht="12.75" x14ac:dyDescent="0.2">
      <c r="A439" s="304"/>
      <c r="B439" s="305"/>
      <c r="M439" s="306"/>
      <c r="N439" s="306"/>
      <c r="O439" s="306"/>
      <c r="P439" s="306"/>
      <c r="Q439" s="306"/>
      <c r="R439" s="306"/>
    </row>
    <row r="440" spans="1:18" ht="12.75" x14ac:dyDescent="0.2">
      <c r="A440" s="304"/>
      <c r="B440" s="305"/>
      <c r="M440" s="306"/>
      <c r="N440" s="306"/>
      <c r="O440" s="306"/>
      <c r="P440" s="306"/>
      <c r="Q440" s="306"/>
      <c r="R440" s="306"/>
    </row>
    <row r="441" spans="1:18" ht="12.75" x14ac:dyDescent="0.2">
      <c r="A441" s="304"/>
      <c r="B441" s="305"/>
      <c r="M441" s="306"/>
      <c r="N441" s="306"/>
      <c r="O441" s="306"/>
      <c r="P441" s="306"/>
      <c r="Q441" s="306"/>
      <c r="R441" s="306"/>
    </row>
    <row r="442" spans="1:18" ht="12.75" x14ac:dyDescent="0.2">
      <c r="A442" s="304"/>
      <c r="B442" s="305"/>
      <c r="M442" s="306"/>
      <c r="N442" s="306"/>
      <c r="O442" s="306"/>
      <c r="P442" s="306"/>
      <c r="Q442" s="306"/>
      <c r="R442" s="306"/>
    </row>
    <row r="443" spans="1:18" ht="12.75" x14ac:dyDescent="0.2">
      <c r="A443" s="304"/>
      <c r="B443" s="305"/>
      <c r="M443" s="306"/>
      <c r="N443" s="306"/>
      <c r="O443" s="306"/>
      <c r="P443" s="306"/>
      <c r="Q443" s="306"/>
      <c r="R443" s="306"/>
    </row>
    <row r="444" spans="1:18" ht="12.75" x14ac:dyDescent="0.2">
      <c r="A444" s="304"/>
      <c r="B444" s="305"/>
      <c r="M444" s="306"/>
      <c r="N444" s="306"/>
      <c r="O444" s="306"/>
      <c r="P444" s="306"/>
      <c r="Q444" s="306"/>
      <c r="R444" s="306"/>
    </row>
    <row r="445" spans="1:18" ht="12.75" x14ac:dyDescent="0.2">
      <c r="A445" s="304"/>
      <c r="B445" s="305"/>
      <c r="M445" s="306"/>
      <c r="N445" s="306"/>
      <c r="O445" s="306"/>
      <c r="P445" s="306"/>
      <c r="Q445" s="306"/>
      <c r="R445" s="306"/>
    </row>
    <row r="446" spans="1:18" ht="12.75" x14ac:dyDescent="0.2">
      <c r="A446" s="304"/>
      <c r="B446" s="305"/>
      <c r="M446" s="306"/>
      <c r="N446" s="306"/>
      <c r="O446" s="306"/>
      <c r="P446" s="306"/>
      <c r="Q446" s="306"/>
      <c r="R446" s="306"/>
    </row>
    <row r="447" spans="1:18" ht="12.75" x14ac:dyDescent="0.2">
      <c r="A447" s="304"/>
      <c r="B447" s="305"/>
      <c r="M447" s="306"/>
      <c r="N447" s="306"/>
      <c r="O447" s="306"/>
      <c r="P447" s="306"/>
      <c r="Q447" s="306"/>
      <c r="R447" s="306"/>
    </row>
    <row r="448" spans="1:18" ht="12.75" x14ac:dyDescent="0.2">
      <c r="A448" s="304"/>
      <c r="B448" s="305"/>
      <c r="M448" s="306"/>
      <c r="N448" s="306"/>
      <c r="O448" s="306"/>
      <c r="P448" s="306"/>
      <c r="Q448" s="306"/>
      <c r="R448" s="306"/>
    </row>
    <row r="449" spans="1:18" ht="12.75" x14ac:dyDescent="0.2">
      <c r="A449" s="304"/>
      <c r="B449" s="305"/>
      <c r="M449" s="306"/>
      <c r="N449" s="306"/>
      <c r="O449" s="306"/>
      <c r="P449" s="306"/>
      <c r="Q449" s="306"/>
      <c r="R449" s="306"/>
    </row>
    <row r="450" spans="1:18" ht="12.75" x14ac:dyDescent="0.2">
      <c r="A450" s="304"/>
      <c r="B450" s="305"/>
      <c r="M450" s="306"/>
      <c r="N450" s="306"/>
      <c r="O450" s="306"/>
      <c r="P450" s="306"/>
      <c r="Q450" s="306"/>
      <c r="R450" s="306"/>
    </row>
    <row r="451" spans="1:18" ht="12.75" x14ac:dyDescent="0.2">
      <c r="A451" s="304"/>
      <c r="B451" s="305"/>
      <c r="M451" s="306"/>
      <c r="N451" s="306"/>
      <c r="O451" s="306"/>
      <c r="P451" s="306"/>
      <c r="Q451" s="306"/>
      <c r="R451" s="306"/>
    </row>
    <row r="452" spans="1:18" ht="12.75" x14ac:dyDescent="0.2">
      <c r="A452" s="304"/>
      <c r="B452" s="305"/>
      <c r="M452" s="306"/>
      <c r="N452" s="306"/>
      <c r="O452" s="306"/>
      <c r="P452" s="306"/>
      <c r="Q452" s="306"/>
      <c r="R452" s="306"/>
    </row>
    <row r="453" spans="1:18" ht="12.75" x14ac:dyDescent="0.2">
      <c r="A453" s="304"/>
      <c r="B453" s="305"/>
      <c r="M453" s="306"/>
      <c r="N453" s="306"/>
      <c r="O453" s="306"/>
      <c r="P453" s="306"/>
      <c r="Q453" s="306"/>
      <c r="R453" s="306"/>
    </row>
    <row r="454" spans="1:18" ht="12.75" x14ac:dyDescent="0.2">
      <c r="A454" s="304"/>
      <c r="B454" s="305"/>
      <c r="M454" s="306"/>
      <c r="N454" s="306"/>
      <c r="O454" s="306"/>
      <c r="P454" s="306"/>
      <c r="Q454" s="306"/>
      <c r="R454" s="306"/>
    </row>
    <row r="455" spans="1:18" ht="12.75" x14ac:dyDescent="0.2">
      <c r="A455" s="304"/>
      <c r="B455" s="305"/>
      <c r="M455" s="306"/>
      <c r="N455" s="306"/>
      <c r="O455" s="306"/>
      <c r="P455" s="306"/>
      <c r="Q455" s="306"/>
      <c r="R455" s="306"/>
    </row>
    <row r="456" spans="1:18" ht="12.75" x14ac:dyDescent="0.2">
      <c r="A456" s="304"/>
      <c r="B456" s="305"/>
      <c r="M456" s="306"/>
      <c r="N456" s="306"/>
      <c r="O456" s="306"/>
      <c r="P456" s="306"/>
      <c r="Q456" s="306"/>
      <c r="R456" s="306"/>
    </row>
    <row r="457" spans="1:18" ht="12.75" x14ac:dyDescent="0.2">
      <c r="A457" s="304"/>
      <c r="B457" s="305"/>
      <c r="M457" s="306"/>
      <c r="N457" s="306"/>
      <c r="O457" s="306"/>
      <c r="P457" s="306"/>
      <c r="Q457" s="306"/>
      <c r="R457" s="306"/>
    </row>
    <row r="458" spans="1:18" ht="12.75" x14ac:dyDescent="0.2">
      <c r="A458" s="304"/>
      <c r="B458" s="305"/>
      <c r="M458" s="306"/>
      <c r="N458" s="306"/>
      <c r="O458" s="306"/>
      <c r="P458" s="306"/>
      <c r="Q458" s="306"/>
      <c r="R458" s="306"/>
    </row>
    <row r="459" spans="1:18" ht="12.75" x14ac:dyDescent="0.2">
      <c r="A459" s="304"/>
      <c r="B459" s="305"/>
      <c r="M459" s="306"/>
      <c r="N459" s="306"/>
      <c r="O459" s="306"/>
      <c r="P459" s="306"/>
      <c r="Q459" s="306"/>
      <c r="R459" s="306"/>
    </row>
    <row r="460" spans="1:18" ht="12.75" x14ac:dyDescent="0.2">
      <c r="A460" s="304"/>
      <c r="B460" s="305"/>
      <c r="M460" s="306"/>
      <c r="N460" s="306"/>
      <c r="O460" s="306"/>
      <c r="P460" s="306"/>
      <c r="Q460" s="306"/>
      <c r="R460" s="306"/>
    </row>
    <row r="461" spans="1:18" ht="12.75" x14ac:dyDescent="0.2">
      <c r="A461" s="304"/>
      <c r="B461" s="305"/>
      <c r="M461" s="306"/>
      <c r="N461" s="306"/>
      <c r="O461" s="306"/>
      <c r="P461" s="306"/>
      <c r="Q461" s="306"/>
      <c r="R461" s="306"/>
    </row>
    <row r="462" spans="1:18" ht="12.75" x14ac:dyDescent="0.2">
      <c r="A462" s="304"/>
      <c r="B462" s="305"/>
      <c r="M462" s="306"/>
      <c r="N462" s="306"/>
      <c r="O462" s="306"/>
      <c r="P462" s="306"/>
      <c r="Q462" s="306"/>
      <c r="R462" s="306"/>
    </row>
    <row r="463" spans="1:18" ht="12.75" x14ac:dyDescent="0.2">
      <c r="A463" s="304"/>
      <c r="B463" s="305"/>
      <c r="M463" s="306"/>
      <c r="N463" s="306"/>
      <c r="O463" s="306"/>
      <c r="P463" s="306"/>
      <c r="Q463" s="306"/>
      <c r="R463" s="306"/>
    </row>
    <row r="464" spans="1:18" ht="12.75" x14ac:dyDescent="0.2">
      <c r="A464" s="304"/>
      <c r="B464" s="305"/>
      <c r="M464" s="306"/>
      <c r="N464" s="306"/>
      <c r="O464" s="306"/>
      <c r="P464" s="306"/>
      <c r="Q464" s="306"/>
      <c r="R464" s="306"/>
    </row>
    <row r="465" spans="1:18" ht="12.75" x14ac:dyDescent="0.2">
      <c r="A465" s="304"/>
      <c r="B465" s="305"/>
      <c r="M465" s="306"/>
      <c r="N465" s="306"/>
      <c r="O465" s="306"/>
      <c r="P465" s="306"/>
      <c r="Q465" s="306"/>
      <c r="R465" s="306"/>
    </row>
    <row r="466" spans="1:18" ht="12.75" x14ac:dyDescent="0.2">
      <c r="A466" s="304"/>
      <c r="B466" s="305"/>
      <c r="M466" s="306"/>
      <c r="N466" s="306"/>
      <c r="O466" s="306"/>
      <c r="P466" s="306"/>
      <c r="Q466" s="306"/>
      <c r="R466" s="306"/>
    </row>
    <row r="467" spans="1:18" ht="12.75" x14ac:dyDescent="0.2">
      <c r="A467" s="304"/>
      <c r="B467" s="305"/>
      <c r="M467" s="306"/>
      <c r="N467" s="306"/>
      <c r="O467" s="306"/>
      <c r="P467" s="306"/>
      <c r="Q467" s="306"/>
      <c r="R467" s="306"/>
    </row>
    <row r="468" spans="1:18" ht="12.75" x14ac:dyDescent="0.2">
      <c r="A468" s="304"/>
      <c r="B468" s="305"/>
      <c r="M468" s="306"/>
      <c r="N468" s="306"/>
      <c r="O468" s="306"/>
      <c r="P468" s="306"/>
      <c r="Q468" s="306"/>
      <c r="R468" s="306"/>
    </row>
    <row r="469" spans="1:18" ht="12.75" x14ac:dyDescent="0.2">
      <c r="A469" s="304"/>
      <c r="B469" s="305"/>
      <c r="M469" s="306"/>
      <c r="N469" s="306"/>
      <c r="O469" s="306"/>
      <c r="P469" s="306"/>
      <c r="Q469" s="306"/>
      <c r="R469" s="306"/>
    </row>
    <row r="470" spans="1:18" ht="12.75" x14ac:dyDescent="0.2">
      <c r="A470" s="304"/>
      <c r="B470" s="305"/>
      <c r="M470" s="306"/>
      <c r="N470" s="306"/>
      <c r="O470" s="306"/>
      <c r="P470" s="306"/>
      <c r="Q470" s="306"/>
      <c r="R470" s="306"/>
    </row>
    <row r="471" spans="1:18" ht="12.75" x14ac:dyDescent="0.2">
      <c r="A471" s="304"/>
      <c r="B471" s="305"/>
      <c r="M471" s="306"/>
      <c r="N471" s="306"/>
      <c r="O471" s="306"/>
      <c r="P471" s="306"/>
      <c r="Q471" s="306"/>
      <c r="R471" s="306"/>
    </row>
    <row r="472" spans="1:18" ht="12.75" x14ac:dyDescent="0.2">
      <c r="A472" s="304"/>
      <c r="B472" s="305"/>
      <c r="M472" s="306"/>
      <c r="N472" s="306"/>
      <c r="O472" s="306"/>
      <c r="P472" s="306"/>
      <c r="Q472" s="306"/>
      <c r="R472" s="306"/>
    </row>
    <row r="473" spans="1:18" ht="12.75" x14ac:dyDescent="0.2">
      <c r="A473" s="304"/>
      <c r="B473" s="305"/>
      <c r="M473" s="306"/>
      <c r="N473" s="306"/>
      <c r="O473" s="306"/>
      <c r="P473" s="306"/>
      <c r="Q473" s="306"/>
      <c r="R473" s="306"/>
    </row>
    <row r="474" spans="1:18" ht="12.75" x14ac:dyDescent="0.2">
      <c r="A474" s="304"/>
      <c r="B474" s="305"/>
      <c r="M474" s="306"/>
      <c r="N474" s="306"/>
      <c r="O474" s="306"/>
      <c r="P474" s="306"/>
      <c r="Q474" s="306"/>
      <c r="R474" s="306"/>
    </row>
    <row r="475" spans="1:18" ht="12.75" x14ac:dyDescent="0.2">
      <c r="A475" s="304"/>
      <c r="B475" s="305"/>
      <c r="M475" s="306"/>
      <c r="N475" s="306"/>
      <c r="O475" s="306"/>
      <c r="P475" s="306"/>
      <c r="Q475" s="306"/>
      <c r="R475" s="306"/>
    </row>
    <row r="476" spans="1:18" ht="12.75" x14ac:dyDescent="0.2">
      <c r="A476" s="304"/>
      <c r="B476" s="305"/>
      <c r="M476" s="306"/>
      <c r="N476" s="306"/>
      <c r="O476" s="306"/>
      <c r="P476" s="306"/>
      <c r="Q476" s="306"/>
      <c r="R476" s="306"/>
    </row>
    <row r="477" spans="1:18" ht="12.75" x14ac:dyDescent="0.2">
      <c r="A477" s="304"/>
      <c r="B477" s="305"/>
      <c r="M477" s="306"/>
      <c r="N477" s="306"/>
      <c r="O477" s="306"/>
      <c r="P477" s="306"/>
      <c r="Q477" s="306"/>
      <c r="R477" s="306"/>
    </row>
    <row r="478" spans="1:18" ht="12.75" x14ac:dyDescent="0.2">
      <c r="A478" s="304"/>
      <c r="B478" s="305"/>
      <c r="M478" s="306"/>
      <c r="N478" s="306"/>
      <c r="O478" s="306"/>
      <c r="P478" s="306"/>
      <c r="Q478" s="306"/>
      <c r="R478" s="306"/>
    </row>
    <row r="479" spans="1:18" ht="12.75" x14ac:dyDescent="0.2">
      <c r="A479" s="304"/>
      <c r="B479" s="305"/>
      <c r="M479" s="306"/>
      <c r="N479" s="306"/>
      <c r="O479" s="306"/>
      <c r="P479" s="306"/>
      <c r="Q479" s="306"/>
      <c r="R479" s="306"/>
    </row>
    <row r="480" spans="1:18" ht="12.75" x14ac:dyDescent="0.2">
      <c r="A480" s="304"/>
      <c r="B480" s="305"/>
      <c r="M480" s="306"/>
      <c r="N480" s="306"/>
      <c r="O480" s="306"/>
      <c r="P480" s="306"/>
      <c r="Q480" s="306"/>
      <c r="R480" s="306"/>
    </row>
    <row r="481" spans="1:18" ht="12.75" x14ac:dyDescent="0.2">
      <c r="A481" s="304"/>
      <c r="B481" s="305"/>
      <c r="M481" s="306"/>
      <c r="N481" s="306"/>
      <c r="O481" s="306"/>
      <c r="P481" s="306"/>
      <c r="Q481" s="306"/>
      <c r="R481" s="306"/>
    </row>
    <row r="482" spans="1:18" ht="12.75" x14ac:dyDescent="0.2">
      <c r="A482" s="304"/>
      <c r="B482" s="305"/>
      <c r="M482" s="306"/>
      <c r="N482" s="306"/>
      <c r="O482" s="306"/>
      <c r="P482" s="306"/>
      <c r="Q482" s="306"/>
      <c r="R482" s="306"/>
    </row>
    <row r="483" spans="1:18" ht="12.75" x14ac:dyDescent="0.2">
      <c r="A483" s="304"/>
      <c r="B483" s="305"/>
      <c r="M483" s="306"/>
      <c r="N483" s="306"/>
      <c r="O483" s="306"/>
      <c r="P483" s="306"/>
      <c r="Q483" s="306"/>
      <c r="R483" s="306"/>
    </row>
    <row r="484" spans="1:18" ht="12.75" x14ac:dyDescent="0.2">
      <c r="A484" s="304"/>
      <c r="B484" s="305"/>
      <c r="M484" s="306"/>
      <c r="N484" s="306"/>
      <c r="O484" s="306"/>
      <c r="P484" s="306"/>
      <c r="Q484" s="306"/>
      <c r="R484" s="306"/>
    </row>
    <row r="485" spans="1:18" ht="12.75" x14ac:dyDescent="0.2">
      <c r="A485" s="304"/>
      <c r="B485" s="305"/>
      <c r="M485" s="306"/>
      <c r="N485" s="306"/>
      <c r="O485" s="306"/>
      <c r="P485" s="306"/>
      <c r="Q485" s="306"/>
      <c r="R485" s="306"/>
    </row>
    <row r="486" spans="1:18" ht="12.75" x14ac:dyDescent="0.2">
      <c r="A486" s="304"/>
      <c r="B486" s="305"/>
      <c r="M486" s="306"/>
      <c r="N486" s="306"/>
      <c r="O486" s="306"/>
      <c r="P486" s="306"/>
      <c r="Q486" s="306"/>
      <c r="R486" s="306"/>
    </row>
    <row r="487" spans="1:18" ht="12.75" x14ac:dyDescent="0.2">
      <c r="A487" s="304"/>
      <c r="B487" s="305"/>
      <c r="M487" s="306"/>
      <c r="N487" s="306"/>
      <c r="O487" s="306"/>
      <c r="P487" s="306"/>
      <c r="Q487" s="306"/>
      <c r="R487" s="306"/>
    </row>
    <row r="488" spans="1:18" ht="12.75" x14ac:dyDescent="0.2">
      <c r="A488" s="304"/>
      <c r="B488" s="305"/>
      <c r="M488" s="306"/>
      <c r="N488" s="306"/>
      <c r="O488" s="306"/>
      <c r="P488" s="306"/>
      <c r="Q488" s="306"/>
      <c r="R488" s="306"/>
    </row>
    <row r="489" spans="1:18" ht="12.75" x14ac:dyDescent="0.2">
      <c r="A489" s="304"/>
      <c r="B489" s="305"/>
      <c r="M489" s="306"/>
      <c r="N489" s="306"/>
      <c r="O489" s="306"/>
      <c r="P489" s="306"/>
      <c r="Q489" s="306"/>
      <c r="R489" s="306"/>
    </row>
    <row r="490" spans="1:18" ht="12.75" x14ac:dyDescent="0.2">
      <c r="A490" s="304"/>
      <c r="B490" s="305"/>
      <c r="M490" s="306"/>
      <c r="N490" s="306"/>
      <c r="O490" s="306"/>
      <c r="P490" s="306"/>
      <c r="Q490" s="306"/>
      <c r="R490" s="306"/>
    </row>
    <row r="491" spans="1:18" ht="12.75" x14ac:dyDescent="0.2">
      <c r="A491" s="304"/>
      <c r="B491" s="305"/>
      <c r="M491" s="306"/>
      <c r="N491" s="306"/>
      <c r="O491" s="306"/>
      <c r="P491" s="306"/>
      <c r="Q491" s="306"/>
      <c r="R491" s="306"/>
    </row>
    <row r="492" spans="1:18" ht="12.75" x14ac:dyDescent="0.2">
      <c r="A492" s="304"/>
      <c r="B492" s="305"/>
      <c r="M492" s="306"/>
      <c r="N492" s="306"/>
      <c r="O492" s="306"/>
      <c r="P492" s="306"/>
      <c r="Q492" s="306"/>
      <c r="R492" s="306"/>
    </row>
    <row r="493" spans="1:18" ht="12.75" x14ac:dyDescent="0.2">
      <c r="A493" s="304"/>
      <c r="B493" s="305"/>
      <c r="M493" s="306"/>
      <c r="N493" s="306"/>
      <c r="O493" s="306"/>
      <c r="P493" s="306"/>
      <c r="Q493" s="306"/>
      <c r="R493" s="306"/>
    </row>
    <row r="494" spans="1:18" ht="12.75" x14ac:dyDescent="0.2">
      <c r="A494" s="304"/>
      <c r="B494" s="305"/>
      <c r="M494" s="306"/>
      <c r="N494" s="306"/>
      <c r="O494" s="306"/>
      <c r="P494" s="306"/>
      <c r="Q494" s="306"/>
      <c r="R494" s="306"/>
    </row>
    <row r="495" spans="1:18" ht="12.75" x14ac:dyDescent="0.2">
      <c r="A495" s="304"/>
      <c r="B495" s="305"/>
      <c r="M495" s="306"/>
      <c r="N495" s="306"/>
      <c r="O495" s="306"/>
      <c r="P495" s="306"/>
      <c r="Q495" s="306"/>
      <c r="R495" s="306"/>
    </row>
    <row r="496" spans="1:18" ht="12.75" x14ac:dyDescent="0.2">
      <c r="A496" s="304"/>
      <c r="B496" s="305"/>
      <c r="M496" s="306"/>
      <c r="N496" s="306"/>
      <c r="O496" s="306"/>
      <c r="P496" s="306"/>
      <c r="Q496" s="306"/>
      <c r="R496" s="306"/>
    </row>
    <row r="497" spans="1:18" ht="12.75" x14ac:dyDescent="0.2">
      <c r="A497" s="304"/>
      <c r="B497" s="305"/>
      <c r="M497" s="306"/>
      <c r="N497" s="306"/>
      <c r="O497" s="306"/>
      <c r="P497" s="306"/>
      <c r="Q497" s="306"/>
      <c r="R497" s="306"/>
    </row>
    <row r="498" spans="1:18" ht="12.75" x14ac:dyDescent="0.2">
      <c r="A498" s="304"/>
      <c r="B498" s="305"/>
      <c r="M498" s="306"/>
      <c r="N498" s="306"/>
      <c r="O498" s="306"/>
      <c r="P498" s="306"/>
      <c r="Q498" s="306"/>
      <c r="R498" s="306"/>
    </row>
    <row r="499" spans="1:18" ht="12.75" x14ac:dyDescent="0.2">
      <c r="A499" s="304"/>
      <c r="B499" s="305"/>
      <c r="M499" s="306"/>
      <c r="N499" s="306"/>
      <c r="O499" s="306"/>
      <c r="P499" s="306"/>
      <c r="Q499" s="306"/>
      <c r="R499" s="306"/>
    </row>
    <row r="500" spans="1:18" ht="12.75" x14ac:dyDescent="0.2">
      <c r="A500" s="304"/>
      <c r="B500" s="305"/>
      <c r="M500" s="306"/>
      <c r="N500" s="306"/>
      <c r="O500" s="306"/>
      <c r="P500" s="306"/>
      <c r="Q500" s="306"/>
      <c r="R500" s="306"/>
    </row>
    <row r="501" spans="1:18" ht="12.75" x14ac:dyDescent="0.2">
      <c r="A501" s="304"/>
      <c r="B501" s="305"/>
      <c r="M501" s="306"/>
      <c r="N501" s="306"/>
      <c r="O501" s="306"/>
      <c r="P501" s="306"/>
      <c r="Q501" s="306"/>
      <c r="R501" s="306"/>
    </row>
    <row r="502" spans="1:18" ht="12.75" x14ac:dyDescent="0.2">
      <c r="A502" s="304"/>
      <c r="B502" s="305"/>
      <c r="M502" s="306"/>
      <c r="N502" s="306"/>
      <c r="O502" s="306"/>
      <c r="P502" s="306"/>
      <c r="Q502" s="306"/>
      <c r="R502" s="306"/>
    </row>
    <row r="503" spans="1:18" ht="12.75" x14ac:dyDescent="0.2">
      <c r="A503" s="304"/>
      <c r="B503" s="305"/>
      <c r="M503" s="306"/>
      <c r="N503" s="306"/>
      <c r="O503" s="306"/>
      <c r="P503" s="306"/>
      <c r="Q503" s="306"/>
      <c r="R503" s="306"/>
    </row>
    <row r="504" spans="1:18" ht="12.75" x14ac:dyDescent="0.2">
      <c r="A504" s="304"/>
      <c r="B504" s="305"/>
      <c r="M504" s="306"/>
      <c r="N504" s="306"/>
      <c r="O504" s="306"/>
      <c r="P504" s="306"/>
      <c r="Q504" s="306"/>
      <c r="R504" s="306"/>
    </row>
    <row r="505" spans="1:18" ht="12.75" x14ac:dyDescent="0.2">
      <c r="A505" s="304"/>
      <c r="B505" s="305"/>
      <c r="M505" s="306"/>
      <c r="N505" s="306"/>
      <c r="O505" s="306"/>
      <c r="P505" s="306"/>
      <c r="Q505" s="306"/>
      <c r="R505" s="306"/>
    </row>
    <row r="506" spans="1:18" ht="12.75" x14ac:dyDescent="0.2">
      <c r="A506" s="304"/>
      <c r="B506" s="305"/>
      <c r="M506" s="306"/>
      <c r="N506" s="306"/>
      <c r="O506" s="306"/>
      <c r="P506" s="306"/>
      <c r="Q506" s="306"/>
      <c r="R506" s="306"/>
    </row>
    <row r="507" spans="1:18" ht="12.75" x14ac:dyDescent="0.2">
      <c r="A507" s="304"/>
      <c r="B507" s="305"/>
      <c r="M507" s="306"/>
      <c r="N507" s="306"/>
      <c r="O507" s="306"/>
      <c r="P507" s="306"/>
      <c r="Q507" s="306"/>
      <c r="R507" s="306"/>
    </row>
    <row r="508" spans="1:18" ht="12.75" x14ac:dyDescent="0.2">
      <c r="A508" s="304"/>
      <c r="B508" s="305"/>
      <c r="M508" s="306"/>
      <c r="N508" s="306"/>
      <c r="O508" s="306"/>
      <c r="P508" s="306"/>
      <c r="Q508" s="306"/>
      <c r="R508" s="306"/>
    </row>
    <row r="509" spans="1:18" ht="12.75" x14ac:dyDescent="0.2">
      <c r="A509" s="304"/>
      <c r="B509" s="305"/>
      <c r="M509" s="306"/>
      <c r="N509" s="306"/>
      <c r="O509" s="306"/>
      <c r="P509" s="306"/>
      <c r="Q509" s="306"/>
      <c r="R509" s="306"/>
    </row>
    <row r="510" spans="1:18" ht="12.75" x14ac:dyDescent="0.2">
      <c r="A510" s="304"/>
      <c r="B510" s="305"/>
      <c r="M510" s="306"/>
      <c r="N510" s="306"/>
      <c r="O510" s="306"/>
      <c r="P510" s="306"/>
      <c r="Q510" s="306"/>
      <c r="R510" s="306"/>
    </row>
    <row r="511" spans="1:18" ht="12.75" x14ac:dyDescent="0.2">
      <c r="A511" s="304"/>
      <c r="B511" s="305"/>
      <c r="M511" s="306"/>
      <c r="N511" s="306"/>
      <c r="O511" s="306"/>
      <c r="P511" s="306"/>
      <c r="Q511" s="306"/>
      <c r="R511" s="306"/>
    </row>
    <row r="512" spans="1:18" ht="12.75" x14ac:dyDescent="0.2">
      <c r="A512" s="304"/>
      <c r="B512" s="305"/>
      <c r="M512" s="306"/>
      <c r="N512" s="306"/>
      <c r="O512" s="306"/>
      <c r="P512" s="306"/>
      <c r="Q512" s="306"/>
      <c r="R512" s="306"/>
    </row>
    <row r="513" spans="1:18" ht="12.75" x14ac:dyDescent="0.2">
      <c r="A513" s="304"/>
      <c r="B513" s="305"/>
      <c r="M513" s="306"/>
      <c r="N513" s="306"/>
      <c r="O513" s="306"/>
      <c r="P513" s="306"/>
      <c r="Q513" s="306"/>
      <c r="R513" s="306"/>
    </row>
    <row r="514" spans="1:18" ht="12.75" x14ac:dyDescent="0.2">
      <c r="A514" s="304"/>
      <c r="B514" s="305"/>
      <c r="M514" s="306"/>
      <c r="N514" s="306"/>
      <c r="O514" s="306"/>
      <c r="P514" s="306"/>
      <c r="Q514" s="306"/>
      <c r="R514" s="306"/>
    </row>
    <row r="515" spans="1:18" ht="12.75" x14ac:dyDescent="0.2">
      <c r="A515" s="304"/>
      <c r="B515" s="305"/>
      <c r="M515" s="306"/>
      <c r="N515" s="306"/>
      <c r="O515" s="306"/>
      <c r="P515" s="306"/>
      <c r="Q515" s="306"/>
      <c r="R515" s="306"/>
    </row>
    <row r="516" spans="1:18" ht="12.75" x14ac:dyDescent="0.2">
      <c r="A516" s="304"/>
      <c r="B516" s="305"/>
      <c r="M516" s="306"/>
      <c r="N516" s="306"/>
      <c r="O516" s="306"/>
      <c r="P516" s="306"/>
      <c r="Q516" s="306"/>
      <c r="R516" s="306"/>
    </row>
    <row r="517" spans="1:18" ht="12.75" x14ac:dyDescent="0.2">
      <c r="A517" s="304"/>
      <c r="B517" s="305"/>
      <c r="M517" s="306"/>
      <c r="N517" s="306"/>
      <c r="O517" s="306"/>
      <c r="P517" s="306"/>
      <c r="Q517" s="306"/>
      <c r="R517" s="306"/>
    </row>
    <row r="518" spans="1:18" ht="12.75" x14ac:dyDescent="0.2">
      <c r="A518" s="304"/>
      <c r="B518" s="305"/>
      <c r="M518" s="306"/>
      <c r="N518" s="306"/>
      <c r="O518" s="306"/>
      <c r="P518" s="306"/>
      <c r="Q518" s="306"/>
      <c r="R518" s="306"/>
    </row>
    <row r="519" spans="1:18" ht="12.75" x14ac:dyDescent="0.2">
      <c r="A519" s="304"/>
      <c r="B519" s="305"/>
      <c r="M519" s="306"/>
      <c r="N519" s="306"/>
      <c r="O519" s="306"/>
      <c r="P519" s="306"/>
      <c r="Q519" s="306"/>
      <c r="R519" s="306"/>
    </row>
    <row r="520" spans="1:18" ht="12.75" x14ac:dyDescent="0.2">
      <c r="A520" s="304"/>
      <c r="B520" s="305"/>
      <c r="M520" s="306"/>
      <c r="N520" s="306"/>
      <c r="O520" s="306"/>
      <c r="P520" s="306"/>
      <c r="Q520" s="306"/>
      <c r="R520" s="306"/>
    </row>
    <row r="521" spans="1:18" ht="12.75" x14ac:dyDescent="0.2">
      <c r="A521" s="304"/>
      <c r="B521" s="305"/>
      <c r="M521" s="306"/>
      <c r="N521" s="306"/>
      <c r="O521" s="306"/>
      <c r="P521" s="306"/>
      <c r="Q521" s="306"/>
      <c r="R521" s="306"/>
    </row>
    <row r="522" spans="1:18" ht="12.75" x14ac:dyDescent="0.2">
      <c r="A522" s="304"/>
      <c r="B522" s="305"/>
      <c r="M522" s="306"/>
      <c r="N522" s="306"/>
      <c r="O522" s="306"/>
      <c r="P522" s="306"/>
      <c r="Q522" s="306"/>
      <c r="R522" s="306"/>
    </row>
    <row r="523" spans="1:18" ht="12.75" x14ac:dyDescent="0.2">
      <c r="A523" s="304"/>
      <c r="B523" s="305"/>
      <c r="M523" s="306"/>
      <c r="N523" s="306"/>
      <c r="O523" s="306"/>
      <c r="P523" s="306"/>
      <c r="Q523" s="306"/>
      <c r="R523" s="306"/>
    </row>
    <row r="524" spans="1:18" ht="12.75" x14ac:dyDescent="0.2">
      <c r="A524" s="304"/>
      <c r="B524" s="305"/>
      <c r="M524" s="306"/>
      <c r="N524" s="306"/>
      <c r="O524" s="306"/>
      <c r="P524" s="306"/>
      <c r="Q524" s="306"/>
      <c r="R524" s="306"/>
    </row>
    <row r="525" spans="1:18" ht="12.75" x14ac:dyDescent="0.2">
      <c r="A525" s="304"/>
      <c r="B525" s="305"/>
      <c r="M525" s="306"/>
      <c r="N525" s="306"/>
      <c r="O525" s="306"/>
      <c r="P525" s="306"/>
      <c r="Q525" s="306"/>
      <c r="R525" s="306"/>
    </row>
    <row r="526" spans="1:18" ht="12.75" x14ac:dyDescent="0.2">
      <c r="A526" s="304"/>
      <c r="B526" s="305"/>
      <c r="M526" s="306"/>
      <c r="N526" s="306"/>
      <c r="O526" s="306"/>
      <c r="P526" s="306"/>
      <c r="Q526" s="306"/>
      <c r="R526" s="306"/>
    </row>
    <row r="527" spans="1:18" ht="12.75" x14ac:dyDescent="0.2">
      <c r="A527" s="304"/>
      <c r="B527" s="305"/>
      <c r="M527" s="306"/>
      <c r="N527" s="306"/>
      <c r="O527" s="306"/>
      <c r="P527" s="306"/>
      <c r="Q527" s="306"/>
      <c r="R527" s="306"/>
    </row>
    <row r="528" spans="1:18" ht="12.75" x14ac:dyDescent="0.2">
      <c r="A528" s="304"/>
      <c r="B528" s="305"/>
      <c r="M528" s="306"/>
      <c r="N528" s="306"/>
      <c r="O528" s="306"/>
      <c r="P528" s="306"/>
      <c r="Q528" s="306"/>
      <c r="R528" s="306"/>
    </row>
    <row r="529" spans="1:18" ht="12.75" x14ac:dyDescent="0.2">
      <c r="A529" s="304"/>
      <c r="B529" s="305"/>
      <c r="M529" s="306"/>
      <c r="N529" s="306"/>
      <c r="O529" s="306"/>
      <c r="P529" s="306"/>
      <c r="Q529" s="306"/>
      <c r="R529" s="306"/>
    </row>
    <row r="530" spans="1:18" ht="12.75" x14ac:dyDescent="0.2">
      <c r="A530" s="304"/>
      <c r="B530" s="305"/>
      <c r="M530" s="306"/>
      <c r="N530" s="306"/>
      <c r="O530" s="306"/>
      <c r="P530" s="306"/>
      <c r="Q530" s="306"/>
      <c r="R530" s="306"/>
    </row>
    <row r="531" spans="1:18" ht="12.75" x14ac:dyDescent="0.2">
      <c r="A531" s="304"/>
      <c r="B531" s="305"/>
      <c r="M531" s="306"/>
      <c r="N531" s="306"/>
      <c r="O531" s="306"/>
      <c r="P531" s="306"/>
      <c r="Q531" s="306"/>
      <c r="R531" s="306"/>
    </row>
    <row r="532" spans="1:18" ht="12.75" x14ac:dyDescent="0.2">
      <c r="A532" s="304"/>
      <c r="B532" s="305"/>
      <c r="M532" s="306"/>
      <c r="N532" s="306"/>
      <c r="O532" s="306"/>
      <c r="P532" s="306"/>
      <c r="Q532" s="306"/>
      <c r="R532" s="306"/>
    </row>
    <row r="533" spans="1:18" ht="12.75" x14ac:dyDescent="0.2">
      <c r="A533" s="304"/>
      <c r="B533" s="305"/>
      <c r="M533" s="306"/>
      <c r="N533" s="306"/>
      <c r="O533" s="306"/>
      <c r="P533" s="306"/>
      <c r="Q533" s="306"/>
      <c r="R533" s="306"/>
    </row>
    <row r="534" spans="1:18" ht="12.75" x14ac:dyDescent="0.2">
      <c r="A534" s="304"/>
      <c r="B534" s="305"/>
      <c r="M534" s="306"/>
      <c r="N534" s="306"/>
      <c r="O534" s="306"/>
      <c r="P534" s="306"/>
      <c r="Q534" s="306"/>
      <c r="R534" s="306"/>
    </row>
    <row r="535" spans="1:18" ht="12.75" x14ac:dyDescent="0.2">
      <c r="A535" s="304"/>
      <c r="B535" s="305"/>
      <c r="M535" s="306"/>
      <c r="N535" s="306"/>
      <c r="O535" s="306"/>
      <c r="P535" s="306"/>
      <c r="Q535" s="306"/>
      <c r="R535" s="306"/>
    </row>
    <row r="536" spans="1:18" ht="12.75" x14ac:dyDescent="0.2">
      <c r="A536" s="304"/>
      <c r="B536" s="305"/>
      <c r="M536" s="306"/>
      <c r="N536" s="306"/>
      <c r="O536" s="306"/>
      <c r="P536" s="306"/>
      <c r="Q536" s="306"/>
      <c r="R536" s="306"/>
    </row>
    <row r="537" spans="1:18" ht="12.75" x14ac:dyDescent="0.2">
      <c r="A537" s="304"/>
      <c r="B537" s="305"/>
      <c r="M537" s="306"/>
      <c r="N537" s="306"/>
      <c r="O537" s="306"/>
      <c r="P537" s="306"/>
      <c r="Q537" s="306"/>
      <c r="R537" s="306"/>
    </row>
    <row r="538" spans="1:18" ht="12.75" x14ac:dyDescent="0.2">
      <c r="A538" s="304"/>
      <c r="B538" s="305"/>
      <c r="M538" s="306"/>
      <c r="N538" s="306"/>
      <c r="O538" s="306"/>
      <c r="P538" s="306"/>
      <c r="Q538" s="306"/>
      <c r="R538" s="306"/>
    </row>
    <row r="539" spans="1:18" ht="12.75" x14ac:dyDescent="0.2">
      <c r="A539" s="304"/>
      <c r="B539" s="305"/>
      <c r="M539" s="306"/>
      <c r="N539" s="306"/>
      <c r="O539" s="306"/>
      <c r="P539" s="306"/>
      <c r="Q539" s="306"/>
      <c r="R539" s="306"/>
    </row>
    <row r="540" spans="1:18" ht="12.75" x14ac:dyDescent="0.2">
      <c r="A540" s="304"/>
      <c r="B540" s="305"/>
      <c r="M540" s="306"/>
      <c r="N540" s="306"/>
      <c r="O540" s="306"/>
      <c r="P540" s="306"/>
      <c r="Q540" s="306"/>
      <c r="R540" s="306"/>
    </row>
    <row r="541" spans="1:18" ht="12.75" x14ac:dyDescent="0.2">
      <c r="A541" s="304"/>
      <c r="B541" s="305"/>
      <c r="M541" s="306"/>
      <c r="N541" s="306"/>
      <c r="O541" s="306"/>
      <c r="P541" s="306"/>
      <c r="Q541" s="306"/>
      <c r="R541" s="306"/>
    </row>
    <row r="542" spans="1:18" ht="12.75" x14ac:dyDescent="0.2">
      <c r="A542" s="304"/>
      <c r="B542" s="305"/>
      <c r="M542" s="306"/>
      <c r="N542" s="306"/>
      <c r="O542" s="306"/>
      <c r="P542" s="306"/>
      <c r="Q542" s="306"/>
      <c r="R542" s="306"/>
    </row>
    <row r="543" spans="1:18" ht="12.75" x14ac:dyDescent="0.2">
      <c r="A543" s="304"/>
      <c r="B543" s="305"/>
      <c r="M543" s="306"/>
      <c r="N543" s="306"/>
      <c r="O543" s="306"/>
      <c r="P543" s="306"/>
      <c r="Q543" s="306"/>
      <c r="R543" s="306"/>
    </row>
    <row r="544" spans="1:18" ht="12.75" x14ac:dyDescent="0.2">
      <c r="A544" s="304"/>
      <c r="B544" s="305"/>
      <c r="M544" s="306"/>
      <c r="N544" s="306"/>
      <c r="O544" s="306"/>
      <c r="P544" s="306"/>
      <c r="Q544" s="306"/>
      <c r="R544" s="306"/>
    </row>
    <row r="545" spans="1:18" ht="12.75" x14ac:dyDescent="0.2">
      <c r="A545" s="304"/>
      <c r="B545" s="305"/>
      <c r="M545" s="306"/>
      <c r="N545" s="306"/>
      <c r="O545" s="306"/>
      <c r="P545" s="306"/>
      <c r="Q545" s="306"/>
      <c r="R545" s="306"/>
    </row>
    <row r="546" spans="1:18" ht="12.75" x14ac:dyDescent="0.2">
      <c r="A546" s="304"/>
      <c r="B546" s="305"/>
      <c r="M546" s="306"/>
      <c r="N546" s="306"/>
      <c r="O546" s="306"/>
      <c r="P546" s="306"/>
      <c r="Q546" s="306"/>
      <c r="R546" s="306"/>
    </row>
    <row r="547" spans="1:18" ht="12.75" x14ac:dyDescent="0.2">
      <c r="A547" s="304"/>
      <c r="B547" s="305"/>
      <c r="M547" s="306"/>
      <c r="N547" s="306"/>
      <c r="O547" s="306"/>
      <c r="P547" s="306"/>
      <c r="Q547" s="306"/>
      <c r="R547" s="306"/>
    </row>
    <row r="548" spans="1:18" ht="12.75" x14ac:dyDescent="0.2">
      <c r="A548" s="304"/>
      <c r="B548" s="305"/>
      <c r="M548" s="306"/>
      <c r="N548" s="306"/>
      <c r="O548" s="306"/>
      <c r="P548" s="306"/>
      <c r="Q548" s="306"/>
      <c r="R548" s="306"/>
    </row>
    <row r="549" spans="1:18" ht="12.75" x14ac:dyDescent="0.2">
      <c r="A549" s="304"/>
      <c r="B549" s="305"/>
      <c r="M549" s="306"/>
      <c r="N549" s="306"/>
      <c r="O549" s="306"/>
      <c r="P549" s="306"/>
      <c r="Q549" s="306"/>
      <c r="R549" s="306"/>
    </row>
    <row r="550" spans="1:18" ht="12.75" x14ac:dyDescent="0.2">
      <c r="A550" s="304"/>
      <c r="B550" s="305"/>
      <c r="M550" s="306"/>
      <c r="N550" s="306"/>
      <c r="O550" s="306"/>
      <c r="P550" s="306"/>
      <c r="Q550" s="306"/>
      <c r="R550" s="306"/>
    </row>
    <row r="551" spans="1:18" ht="12.75" x14ac:dyDescent="0.2">
      <c r="A551" s="304"/>
      <c r="B551" s="305"/>
      <c r="M551" s="306"/>
      <c r="N551" s="306"/>
      <c r="O551" s="306"/>
      <c r="P551" s="306"/>
      <c r="Q551" s="306"/>
      <c r="R551" s="306"/>
    </row>
    <row r="552" spans="1:18" ht="12.75" x14ac:dyDescent="0.2">
      <c r="A552" s="304"/>
      <c r="B552" s="305"/>
      <c r="M552" s="306"/>
      <c r="N552" s="306"/>
      <c r="O552" s="306"/>
      <c r="P552" s="306"/>
      <c r="Q552" s="306"/>
      <c r="R552" s="306"/>
    </row>
    <row r="553" spans="1:18" ht="12.75" x14ac:dyDescent="0.2">
      <c r="A553" s="304"/>
      <c r="B553" s="305"/>
      <c r="M553" s="306"/>
      <c r="N553" s="306"/>
      <c r="O553" s="306"/>
      <c r="P553" s="306"/>
      <c r="Q553" s="306"/>
      <c r="R553" s="306"/>
    </row>
    <row r="554" spans="1:18" ht="12.75" x14ac:dyDescent="0.2">
      <c r="A554" s="304"/>
      <c r="B554" s="305"/>
      <c r="M554" s="306"/>
      <c r="N554" s="306"/>
      <c r="O554" s="306"/>
      <c r="P554" s="306"/>
      <c r="Q554" s="306"/>
      <c r="R554" s="306"/>
    </row>
    <row r="555" spans="1:18" ht="12.75" x14ac:dyDescent="0.2">
      <c r="A555" s="304"/>
      <c r="B555" s="305"/>
      <c r="M555" s="306"/>
      <c r="N555" s="306"/>
      <c r="O555" s="306"/>
      <c r="P555" s="306"/>
      <c r="Q555" s="306"/>
      <c r="R555" s="306"/>
    </row>
    <row r="556" spans="1:18" ht="12.75" x14ac:dyDescent="0.2">
      <c r="A556" s="304"/>
      <c r="B556" s="305"/>
      <c r="M556" s="306"/>
      <c r="N556" s="306"/>
      <c r="O556" s="306"/>
      <c r="P556" s="306"/>
      <c r="Q556" s="306"/>
      <c r="R556" s="306"/>
    </row>
    <row r="557" spans="1:18" ht="12.75" x14ac:dyDescent="0.2">
      <c r="A557" s="304"/>
      <c r="B557" s="305"/>
      <c r="M557" s="306"/>
      <c r="N557" s="306"/>
      <c r="O557" s="306"/>
      <c r="P557" s="306"/>
      <c r="Q557" s="306"/>
      <c r="R557" s="306"/>
    </row>
    <row r="558" spans="1:18" ht="12.75" x14ac:dyDescent="0.2">
      <c r="A558" s="304"/>
      <c r="B558" s="305"/>
      <c r="M558" s="306"/>
      <c r="N558" s="306"/>
      <c r="O558" s="306"/>
      <c r="P558" s="306"/>
      <c r="Q558" s="306"/>
      <c r="R558" s="306"/>
    </row>
    <row r="559" spans="1:18" ht="12.75" x14ac:dyDescent="0.2">
      <c r="A559" s="304"/>
      <c r="B559" s="305"/>
      <c r="M559" s="306"/>
      <c r="N559" s="306"/>
      <c r="O559" s="306"/>
      <c r="P559" s="306"/>
      <c r="Q559" s="306"/>
      <c r="R559" s="306"/>
    </row>
    <row r="560" spans="1:18" ht="12.75" x14ac:dyDescent="0.2">
      <c r="A560" s="304"/>
      <c r="B560" s="305"/>
      <c r="M560" s="306"/>
      <c r="N560" s="306"/>
      <c r="O560" s="306"/>
      <c r="P560" s="306"/>
      <c r="Q560" s="306"/>
      <c r="R560" s="306"/>
    </row>
    <row r="561" spans="1:18" ht="12.75" x14ac:dyDescent="0.2">
      <c r="A561" s="304"/>
      <c r="B561" s="305"/>
      <c r="M561" s="306"/>
      <c r="N561" s="306"/>
      <c r="O561" s="306"/>
      <c r="P561" s="306"/>
      <c r="Q561" s="306"/>
      <c r="R561" s="306"/>
    </row>
    <row r="562" spans="1:18" ht="12.75" x14ac:dyDescent="0.2">
      <c r="A562" s="304"/>
      <c r="B562" s="305"/>
      <c r="M562" s="306"/>
      <c r="N562" s="306"/>
      <c r="O562" s="306"/>
      <c r="P562" s="306"/>
      <c r="Q562" s="306"/>
      <c r="R562" s="306"/>
    </row>
    <row r="563" spans="1:18" ht="12.75" x14ac:dyDescent="0.2">
      <c r="A563" s="304"/>
      <c r="B563" s="305"/>
      <c r="M563" s="306"/>
      <c r="N563" s="306"/>
      <c r="O563" s="306"/>
      <c r="P563" s="306"/>
      <c r="Q563" s="306"/>
      <c r="R563" s="306"/>
    </row>
    <row r="564" spans="1:18" ht="12.75" x14ac:dyDescent="0.2">
      <c r="A564" s="304"/>
      <c r="B564" s="305"/>
      <c r="M564" s="306"/>
      <c r="N564" s="306"/>
      <c r="O564" s="306"/>
      <c r="P564" s="306"/>
      <c r="Q564" s="306"/>
      <c r="R564" s="306"/>
    </row>
    <row r="565" spans="1:18" ht="12.75" x14ac:dyDescent="0.2">
      <c r="A565" s="304"/>
      <c r="B565" s="305"/>
      <c r="M565" s="306"/>
      <c r="N565" s="306"/>
      <c r="O565" s="306"/>
      <c r="P565" s="306"/>
      <c r="Q565" s="306"/>
      <c r="R565" s="306"/>
    </row>
    <row r="566" spans="1:18" ht="12.75" x14ac:dyDescent="0.2">
      <c r="A566" s="304"/>
      <c r="B566" s="305"/>
      <c r="M566" s="306"/>
      <c r="N566" s="306"/>
      <c r="O566" s="306"/>
      <c r="P566" s="306"/>
      <c r="Q566" s="306"/>
      <c r="R566" s="306"/>
    </row>
    <row r="567" spans="1:18" ht="12.75" x14ac:dyDescent="0.2">
      <c r="A567" s="304"/>
      <c r="B567" s="305"/>
      <c r="M567" s="306"/>
      <c r="N567" s="306"/>
      <c r="O567" s="306"/>
      <c r="P567" s="306"/>
      <c r="Q567" s="306"/>
      <c r="R567" s="306"/>
    </row>
    <row r="568" spans="1:18" ht="12.75" x14ac:dyDescent="0.2">
      <c r="A568" s="304"/>
      <c r="B568" s="305"/>
      <c r="M568" s="306"/>
      <c r="N568" s="306"/>
      <c r="O568" s="306"/>
      <c r="P568" s="306"/>
      <c r="Q568" s="306"/>
      <c r="R568" s="306"/>
    </row>
    <row r="569" spans="1:18" ht="12.75" x14ac:dyDescent="0.2">
      <c r="A569" s="304"/>
      <c r="B569" s="305"/>
      <c r="M569" s="306"/>
      <c r="N569" s="306"/>
      <c r="O569" s="306"/>
      <c r="P569" s="306"/>
      <c r="Q569" s="306"/>
      <c r="R569" s="306"/>
    </row>
    <row r="570" spans="1:18" ht="12.75" x14ac:dyDescent="0.2">
      <c r="A570" s="304"/>
      <c r="B570" s="305"/>
      <c r="M570" s="306"/>
      <c r="N570" s="306"/>
      <c r="O570" s="306"/>
      <c r="P570" s="306"/>
      <c r="Q570" s="306"/>
      <c r="R570" s="306"/>
    </row>
    <row r="571" spans="1:18" ht="12.75" x14ac:dyDescent="0.2">
      <c r="A571" s="304"/>
      <c r="B571" s="305"/>
      <c r="M571" s="306"/>
      <c r="N571" s="306"/>
      <c r="O571" s="306"/>
      <c r="P571" s="306"/>
      <c r="Q571" s="306"/>
      <c r="R571" s="306"/>
    </row>
    <row r="572" spans="1:18" ht="12.75" x14ac:dyDescent="0.2">
      <c r="A572" s="304"/>
      <c r="B572" s="305"/>
      <c r="M572" s="306"/>
      <c r="N572" s="306"/>
      <c r="O572" s="306"/>
      <c r="P572" s="306"/>
      <c r="Q572" s="306"/>
      <c r="R572" s="306"/>
    </row>
    <row r="573" spans="1:18" ht="12.75" x14ac:dyDescent="0.2">
      <c r="A573" s="304"/>
      <c r="B573" s="305"/>
      <c r="M573" s="306"/>
      <c r="N573" s="306"/>
      <c r="O573" s="306"/>
      <c r="P573" s="306"/>
      <c r="Q573" s="306"/>
      <c r="R573" s="306"/>
    </row>
    <row r="574" spans="1:18" ht="12.75" x14ac:dyDescent="0.2">
      <c r="A574" s="304"/>
      <c r="B574" s="305"/>
      <c r="M574" s="306"/>
      <c r="N574" s="306"/>
      <c r="O574" s="306"/>
      <c r="P574" s="306"/>
      <c r="Q574" s="306"/>
      <c r="R574" s="306"/>
    </row>
    <row r="575" spans="1:18" ht="12.75" x14ac:dyDescent="0.2">
      <c r="A575" s="304"/>
      <c r="B575" s="305"/>
      <c r="M575" s="306"/>
      <c r="N575" s="306"/>
      <c r="O575" s="306"/>
      <c r="P575" s="306"/>
      <c r="Q575" s="306"/>
      <c r="R575" s="306"/>
    </row>
    <row r="576" spans="1:18" ht="12.75" x14ac:dyDescent="0.2">
      <c r="A576" s="304"/>
      <c r="B576" s="305"/>
      <c r="M576" s="306"/>
      <c r="N576" s="306"/>
      <c r="O576" s="306"/>
      <c r="P576" s="306"/>
      <c r="Q576" s="306"/>
      <c r="R576" s="306"/>
    </row>
    <row r="577" spans="1:18" ht="12.75" x14ac:dyDescent="0.2">
      <c r="A577" s="304"/>
      <c r="B577" s="305"/>
      <c r="M577" s="306"/>
      <c r="N577" s="306"/>
      <c r="O577" s="306"/>
      <c r="P577" s="306"/>
      <c r="Q577" s="306"/>
      <c r="R577" s="306"/>
    </row>
    <row r="578" spans="1:18" ht="12.75" x14ac:dyDescent="0.2">
      <c r="A578" s="304"/>
      <c r="B578" s="305"/>
      <c r="M578" s="306"/>
      <c r="N578" s="306"/>
      <c r="O578" s="306"/>
      <c r="P578" s="306"/>
      <c r="Q578" s="306"/>
      <c r="R578" s="306"/>
    </row>
    <row r="579" spans="1:18" ht="12.75" x14ac:dyDescent="0.2">
      <c r="A579" s="304"/>
      <c r="B579" s="305"/>
      <c r="M579" s="306"/>
      <c r="N579" s="306"/>
      <c r="O579" s="306"/>
      <c r="P579" s="306"/>
      <c r="Q579" s="306"/>
      <c r="R579" s="306"/>
    </row>
    <row r="580" spans="1:18" ht="12.75" x14ac:dyDescent="0.2">
      <c r="A580" s="304"/>
      <c r="B580" s="305"/>
      <c r="M580" s="306"/>
      <c r="N580" s="306"/>
      <c r="O580" s="306"/>
      <c r="P580" s="306"/>
      <c r="Q580" s="306"/>
      <c r="R580" s="306"/>
    </row>
    <row r="581" spans="1:18" ht="12.75" x14ac:dyDescent="0.2">
      <c r="A581" s="304"/>
      <c r="B581" s="305"/>
      <c r="M581" s="306"/>
      <c r="N581" s="306"/>
      <c r="O581" s="306"/>
      <c r="P581" s="306"/>
      <c r="Q581" s="306"/>
      <c r="R581" s="306"/>
    </row>
    <row r="582" spans="1:18" ht="12.75" x14ac:dyDescent="0.2">
      <c r="A582" s="304"/>
      <c r="B582" s="305"/>
      <c r="M582" s="306"/>
      <c r="N582" s="306"/>
      <c r="O582" s="306"/>
      <c r="P582" s="306"/>
      <c r="Q582" s="306"/>
      <c r="R582" s="306"/>
    </row>
    <row r="583" spans="1:18" ht="12.75" x14ac:dyDescent="0.2">
      <c r="A583" s="304"/>
      <c r="B583" s="305"/>
      <c r="M583" s="306"/>
      <c r="N583" s="306"/>
      <c r="O583" s="306"/>
      <c r="P583" s="306"/>
      <c r="Q583" s="306"/>
      <c r="R583" s="306"/>
    </row>
    <row r="584" spans="1:18" ht="12.75" x14ac:dyDescent="0.2">
      <c r="A584" s="304"/>
      <c r="B584" s="305"/>
      <c r="M584" s="306"/>
      <c r="N584" s="306"/>
      <c r="O584" s="306"/>
      <c r="P584" s="306"/>
      <c r="Q584" s="306"/>
      <c r="R584" s="306"/>
    </row>
    <row r="585" spans="1:18" ht="12.75" x14ac:dyDescent="0.2">
      <c r="A585" s="304"/>
      <c r="B585" s="305"/>
      <c r="M585" s="306"/>
      <c r="N585" s="306"/>
      <c r="O585" s="306"/>
      <c r="P585" s="306"/>
      <c r="Q585" s="306"/>
      <c r="R585" s="306"/>
    </row>
    <row r="586" spans="1:18" ht="12.75" x14ac:dyDescent="0.2">
      <c r="A586" s="304"/>
      <c r="B586" s="305"/>
      <c r="M586" s="306"/>
      <c r="N586" s="306"/>
      <c r="O586" s="306"/>
      <c r="P586" s="306"/>
      <c r="Q586" s="306"/>
      <c r="R586" s="306"/>
    </row>
    <row r="587" spans="1:18" ht="12.75" x14ac:dyDescent="0.2">
      <c r="A587" s="304"/>
      <c r="B587" s="305"/>
      <c r="M587" s="306"/>
      <c r="N587" s="306"/>
      <c r="O587" s="306"/>
      <c r="P587" s="306"/>
      <c r="Q587" s="306"/>
      <c r="R587" s="306"/>
    </row>
    <row r="588" spans="1:18" ht="12.75" x14ac:dyDescent="0.2">
      <c r="A588" s="304"/>
      <c r="B588" s="305"/>
      <c r="M588" s="306"/>
      <c r="N588" s="306"/>
      <c r="O588" s="306"/>
      <c r="P588" s="306"/>
      <c r="Q588" s="306"/>
      <c r="R588" s="306"/>
    </row>
    <row r="589" spans="1:18" ht="12.75" x14ac:dyDescent="0.2">
      <c r="A589" s="304"/>
      <c r="B589" s="305"/>
      <c r="M589" s="306"/>
      <c r="N589" s="306"/>
      <c r="O589" s="306"/>
      <c r="P589" s="306"/>
      <c r="Q589" s="306"/>
      <c r="R589" s="306"/>
    </row>
    <row r="590" spans="1:18" ht="12.75" x14ac:dyDescent="0.2">
      <c r="A590" s="304"/>
      <c r="B590" s="305"/>
      <c r="M590" s="306"/>
      <c r="N590" s="306"/>
      <c r="O590" s="306"/>
      <c r="P590" s="306"/>
      <c r="Q590" s="306"/>
      <c r="R590" s="306"/>
    </row>
    <row r="591" spans="1:18" ht="12.75" x14ac:dyDescent="0.2">
      <c r="A591" s="304"/>
      <c r="B591" s="305"/>
      <c r="M591" s="306"/>
      <c r="N591" s="306"/>
      <c r="O591" s="306"/>
      <c r="P591" s="306"/>
      <c r="Q591" s="306"/>
      <c r="R591" s="306"/>
    </row>
    <row r="592" spans="1:18" ht="12.75" x14ac:dyDescent="0.2">
      <c r="A592" s="304"/>
      <c r="B592" s="305"/>
      <c r="M592" s="306"/>
      <c r="N592" s="306"/>
      <c r="O592" s="306"/>
      <c r="P592" s="306"/>
      <c r="Q592" s="306"/>
      <c r="R592" s="306"/>
    </row>
    <row r="593" spans="1:18" ht="12.75" x14ac:dyDescent="0.2">
      <c r="A593" s="304"/>
      <c r="B593" s="305"/>
      <c r="M593" s="306"/>
      <c r="N593" s="306"/>
      <c r="O593" s="306"/>
      <c r="P593" s="306"/>
      <c r="Q593" s="306"/>
      <c r="R593" s="306"/>
    </row>
    <row r="594" spans="1:18" ht="12.75" x14ac:dyDescent="0.2">
      <c r="A594" s="304"/>
      <c r="B594" s="305"/>
      <c r="M594" s="306"/>
      <c r="N594" s="306"/>
      <c r="O594" s="306"/>
      <c r="P594" s="306"/>
      <c r="Q594" s="306"/>
      <c r="R594" s="306"/>
    </row>
    <row r="595" spans="1:18" ht="12.75" x14ac:dyDescent="0.2">
      <c r="A595" s="304"/>
      <c r="B595" s="305"/>
      <c r="M595" s="306"/>
      <c r="N595" s="306"/>
      <c r="O595" s="306"/>
      <c r="P595" s="306"/>
      <c r="Q595" s="306"/>
      <c r="R595" s="306"/>
    </row>
    <row r="596" spans="1:18" ht="12.75" x14ac:dyDescent="0.2">
      <c r="A596" s="304"/>
      <c r="B596" s="305"/>
      <c r="M596" s="306"/>
      <c r="N596" s="306"/>
      <c r="O596" s="306"/>
      <c r="P596" s="306"/>
      <c r="Q596" s="306"/>
      <c r="R596" s="306"/>
    </row>
    <row r="597" spans="1:18" ht="12.75" x14ac:dyDescent="0.2">
      <c r="A597" s="304"/>
      <c r="B597" s="305"/>
      <c r="M597" s="306"/>
      <c r="N597" s="306"/>
      <c r="O597" s="306"/>
      <c r="P597" s="306"/>
      <c r="Q597" s="306"/>
      <c r="R597" s="306"/>
    </row>
    <row r="598" spans="1:18" ht="12.75" x14ac:dyDescent="0.2">
      <c r="A598" s="304"/>
      <c r="B598" s="305"/>
      <c r="M598" s="306"/>
      <c r="N598" s="306"/>
      <c r="O598" s="306"/>
      <c r="P598" s="306"/>
      <c r="Q598" s="306"/>
      <c r="R598" s="306"/>
    </row>
    <row r="599" spans="1:18" ht="12.75" x14ac:dyDescent="0.2">
      <c r="A599" s="304"/>
      <c r="B599" s="305"/>
      <c r="M599" s="306"/>
      <c r="N599" s="306"/>
      <c r="O599" s="306"/>
      <c r="P599" s="306"/>
      <c r="Q599" s="306"/>
      <c r="R599" s="306"/>
    </row>
    <row r="600" spans="1:18" ht="12.75" x14ac:dyDescent="0.2">
      <c r="A600" s="304"/>
      <c r="B600" s="305"/>
      <c r="M600" s="306"/>
      <c r="N600" s="306"/>
      <c r="O600" s="306"/>
      <c r="P600" s="306"/>
      <c r="Q600" s="306"/>
      <c r="R600" s="306"/>
    </row>
    <row r="601" spans="1:18" ht="12.75" x14ac:dyDescent="0.2">
      <c r="A601" s="304"/>
      <c r="B601" s="305"/>
      <c r="M601" s="306"/>
      <c r="N601" s="306"/>
      <c r="O601" s="306"/>
      <c r="P601" s="306"/>
      <c r="Q601" s="306"/>
      <c r="R601" s="306"/>
    </row>
    <row r="602" spans="1:18" ht="12.75" x14ac:dyDescent="0.2">
      <c r="A602" s="304"/>
      <c r="B602" s="305"/>
      <c r="M602" s="306"/>
      <c r="N602" s="306"/>
      <c r="O602" s="306"/>
      <c r="P602" s="306"/>
      <c r="Q602" s="306"/>
      <c r="R602" s="306"/>
    </row>
    <row r="603" spans="1:18" ht="12.75" x14ac:dyDescent="0.2">
      <c r="A603" s="304"/>
      <c r="B603" s="305"/>
      <c r="M603" s="306"/>
      <c r="N603" s="306"/>
      <c r="O603" s="306"/>
      <c r="P603" s="306"/>
      <c r="Q603" s="306"/>
      <c r="R603" s="306"/>
    </row>
    <row r="604" spans="1:18" ht="12.75" x14ac:dyDescent="0.2">
      <c r="A604" s="304"/>
      <c r="B604" s="305"/>
      <c r="M604" s="306"/>
      <c r="N604" s="306"/>
      <c r="O604" s="306"/>
      <c r="P604" s="306"/>
      <c r="Q604" s="306"/>
      <c r="R604" s="306"/>
    </row>
    <row r="605" spans="1:18" ht="12.75" x14ac:dyDescent="0.2">
      <c r="A605" s="304"/>
      <c r="B605" s="305"/>
      <c r="M605" s="306"/>
      <c r="N605" s="306"/>
      <c r="O605" s="306"/>
      <c r="P605" s="306"/>
      <c r="Q605" s="306"/>
      <c r="R605" s="306"/>
    </row>
    <row r="606" spans="1:18" ht="12.75" x14ac:dyDescent="0.2">
      <c r="A606" s="304"/>
      <c r="B606" s="305"/>
      <c r="M606" s="306"/>
      <c r="N606" s="306"/>
      <c r="O606" s="306"/>
      <c r="P606" s="306"/>
      <c r="Q606" s="306"/>
      <c r="R606" s="306"/>
    </row>
    <row r="607" spans="1:18" ht="12.75" x14ac:dyDescent="0.2">
      <c r="A607" s="304"/>
      <c r="B607" s="305"/>
      <c r="M607" s="306"/>
      <c r="N607" s="306"/>
      <c r="O607" s="306"/>
      <c r="P607" s="306"/>
      <c r="Q607" s="306"/>
      <c r="R607" s="306"/>
    </row>
    <row r="608" spans="1:18" ht="12.75" x14ac:dyDescent="0.2">
      <c r="A608" s="304"/>
      <c r="B608" s="305"/>
      <c r="M608" s="306"/>
      <c r="N608" s="306"/>
      <c r="O608" s="306"/>
      <c r="P608" s="306"/>
      <c r="Q608" s="306"/>
      <c r="R608" s="306"/>
    </row>
    <row r="609" spans="1:18" ht="12.75" x14ac:dyDescent="0.2">
      <c r="A609" s="304"/>
      <c r="B609" s="305"/>
      <c r="M609" s="306"/>
      <c r="N609" s="306"/>
      <c r="O609" s="306"/>
      <c r="P609" s="306"/>
      <c r="Q609" s="306"/>
      <c r="R609" s="306"/>
    </row>
    <row r="610" spans="1:18" ht="12.75" x14ac:dyDescent="0.2">
      <c r="A610" s="304"/>
      <c r="B610" s="305"/>
      <c r="M610" s="306"/>
      <c r="N610" s="306"/>
      <c r="O610" s="306"/>
      <c r="P610" s="306"/>
      <c r="Q610" s="306"/>
      <c r="R610" s="306"/>
    </row>
    <row r="611" spans="1:18" ht="12.75" x14ac:dyDescent="0.2">
      <c r="A611" s="304"/>
      <c r="B611" s="305"/>
      <c r="M611" s="306"/>
      <c r="N611" s="306"/>
      <c r="O611" s="306"/>
      <c r="P611" s="306"/>
      <c r="Q611" s="306"/>
      <c r="R611" s="306"/>
    </row>
    <row r="612" spans="1:18" ht="12.75" x14ac:dyDescent="0.2">
      <c r="A612" s="304"/>
      <c r="B612" s="305"/>
      <c r="M612" s="306"/>
      <c r="N612" s="306"/>
      <c r="O612" s="306"/>
      <c r="P612" s="306"/>
      <c r="Q612" s="306"/>
      <c r="R612" s="306"/>
    </row>
    <row r="613" spans="1:18" ht="12.75" x14ac:dyDescent="0.2">
      <c r="A613" s="304"/>
      <c r="B613" s="305"/>
      <c r="M613" s="306"/>
      <c r="N613" s="306"/>
      <c r="O613" s="306"/>
      <c r="P613" s="306"/>
      <c r="Q613" s="306"/>
      <c r="R613" s="306"/>
    </row>
    <row r="614" spans="1:18" ht="12.75" x14ac:dyDescent="0.2">
      <c r="A614" s="304"/>
      <c r="B614" s="305"/>
      <c r="M614" s="306"/>
      <c r="N614" s="306"/>
      <c r="O614" s="306"/>
      <c r="P614" s="306"/>
      <c r="Q614" s="306"/>
      <c r="R614" s="306"/>
    </row>
    <row r="615" spans="1:18" ht="12.75" x14ac:dyDescent="0.2">
      <c r="A615" s="304"/>
      <c r="B615" s="305"/>
      <c r="M615" s="306"/>
      <c r="N615" s="306"/>
      <c r="O615" s="306"/>
      <c r="P615" s="306"/>
      <c r="Q615" s="306"/>
      <c r="R615" s="306"/>
    </row>
    <row r="616" spans="1:18" ht="12.75" x14ac:dyDescent="0.2">
      <c r="A616" s="304"/>
      <c r="B616" s="305"/>
      <c r="M616" s="306"/>
      <c r="N616" s="306"/>
      <c r="O616" s="306"/>
      <c r="P616" s="306"/>
      <c r="Q616" s="306"/>
      <c r="R616" s="306"/>
    </row>
    <row r="617" spans="1:18" ht="12.75" x14ac:dyDescent="0.2">
      <c r="A617" s="304"/>
      <c r="B617" s="305"/>
      <c r="M617" s="306"/>
      <c r="N617" s="306"/>
      <c r="O617" s="306"/>
      <c r="P617" s="306"/>
      <c r="Q617" s="306"/>
      <c r="R617" s="306"/>
    </row>
    <row r="618" spans="1:18" ht="12.75" x14ac:dyDescent="0.2">
      <c r="A618" s="304"/>
      <c r="B618" s="305"/>
      <c r="M618" s="306"/>
      <c r="N618" s="306"/>
      <c r="O618" s="306"/>
      <c r="P618" s="306"/>
      <c r="Q618" s="306"/>
      <c r="R618" s="306"/>
    </row>
    <row r="619" spans="1:18" ht="12.75" x14ac:dyDescent="0.2">
      <c r="A619" s="304"/>
      <c r="B619" s="305"/>
      <c r="M619" s="306"/>
      <c r="N619" s="306"/>
      <c r="O619" s="306"/>
      <c r="P619" s="306"/>
      <c r="Q619" s="306"/>
      <c r="R619" s="306"/>
    </row>
    <row r="620" spans="1:18" ht="12.75" x14ac:dyDescent="0.2">
      <c r="A620" s="304"/>
      <c r="B620" s="305"/>
      <c r="M620" s="306"/>
      <c r="N620" s="306"/>
      <c r="O620" s="306"/>
      <c r="P620" s="306"/>
      <c r="Q620" s="306"/>
      <c r="R620" s="306"/>
    </row>
    <row r="621" spans="1:18" ht="12.75" x14ac:dyDescent="0.2">
      <c r="A621" s="304"/>
      <c r="B621" s="305"/>
      <c r="M621" s="306"/>
      <c r="N621" s="306"/>
      <c r="O621" s="306"/>
      <c r="P621" s="306"/>
      <c r="Q621" s="306"/>
      <c r="R621" s="306"/>
    </row>
    <row r="622" spans="1:18" ht="12.75" x14ac:dyDescent="0.2">
      <c r="A622" s="304"/>
      <c r="B622" s="305"/>
      <c r="M622" s="306"/>
      <c r="N622" s="306"/>
      <c r="O622" s="306"/>
      <c r="P622" s="306"/>
      <c r="Q622" s="306"/>
      <c r="R622" s="306"/>
    </row>
    <row r="623" spans="1:18" ht="12.75" x14ac:dyDescent="0.2">
      <c r="A623" s="304"/>
      <c r="B623" s="305"/>
      <c r="M623" s="306"/>
      <c r="N623" s="306"/>
      <c r="O623" s="306"/>
      <c r="P623" s="306"/>
      <c r="Q623" s="306"/>
      <c r="R623" s="306"/>
    </row>
    <row r="624" spans="1:18" ht="12.75" x14ac:dyDescent="0.2">
      <c r="A624" s="304"/>
      <c r="B624" s="305"/>
      <c r="M624" s="306"/>
      <c r="N624" s="306"/>
      <c r="O624" s="306"/>
      <c r="P624" s="306"/>
      <c r="Q624" s="306"/>
      <c r="R624" s="306"/>
    </row>
    <row r="625" spans="1:18" ht="12.75" x14ac:dyDescent="0.2">
      <c r="A625" s="304"/>
      <c r="B625" s="305"/>
      <c r="M625" s="306"/>
      <c r="N625" s="306"/>
      <c r="O625" s="306"/>
      <c r="P625" s="306"/>
      <c r="Q625" s="306"/>
      <c r="R625" s="306"/>
    </row>
    <row r="626" spans="1:18" ht="12.75" x14ac:dyDescent="0.2">
      <c r="A626" s="304"/>
      <c r="B626" s="305"/>
      <c r="M626" s="306"/>
      <c r="N626" s="306"/>
      <c r="O626" s="306"/>
      <c r="P626" s="306"/>
      <c r="Q626" s="306"/>
      <c r="R626" s="306"/>
    </row>
    <row r="627" spans="1:18" ht="12.75" x14ac:dyDescent="0.2">
      <c r="A627" s="304"/>
      <c r="B627" s="305"/>
      <c r="M627" s="306"/>
      <c r="N627" s="306"/>
      <c r="O627" s="306"/>
      <c r="P627" s="306"/>
      <c r="Q627" s="306"/>
      <c r="R627" s="306"/>
    </row>
    <row r="628" spans="1:18" ht="12.75" x14ac:dyDescent="0.2">
      <c r="A628" s="304"/>
      <c r="B628" s="305"/>
      <c r="M628" s="306"/>
      <c r="N628" s="306"/>
      <c r="O628" s="306"/>
      <c r="P628" s="306"/>
      <c r="Q628" s="306"/>
      <c r="R628" s="306"/>
    </row>
    <row r="629" spans="1:18" ht="12.75" x14ac:dyDescent="0.2">
      <c r="A629" s="304"/>
      <c r="B629" s="305"/>
      <c r="M629" s="306"/>
      <c r="N629" s="306"/>
      <c r="O629" s="306"/>
      <c r="P629" s="306"/>
      <c r="Q629" s="306"/>
      <c r="R629" s="306"/>
    </row>
    <row r="630" spans="1:18" ht="12.75" x14ac:dyDescent="0.2">
      <c r="A630" s="304"/>
      <c r="B630" s="305"/>
      <c r="M630" s="306"/>
      <c r="N630" s="306"/>
      <c r="O630" s="306"/>
      <c r="P630" s="306"/>
      <c r="Q630" s="306"/>
      <c r="R630" s="306"/>
    </row>
    <row r="631" spans="1:18" ht="12.75" x14ac:dyDescent="0.2">
      <c r="A631" s="304"/>
      <c r="B631" s="305"/>
      <c r="M631" s="306"/>
      <c r="N631" s="306"/>
      <c r="O631" s="306"/>
      <c r="P631" s="306"/>
      <c r="Q631" s="306"/>
      <c r="R631" s="306"/>
    </row>
    <row r="632" spans="1:18" ht="12.75" x14ac:dyDescent="0.2">
      <c r="A632" s="304"/>
      <c r="B632" s="305"/>
      <c r="M632" s="306"/>
      <c r="N632" s="306"/>
      <c r="O632" s="306"/>
      <c r="P632" s="306"/>
      <c r="Q632" s="306"/>
      <c r="R632" s="306"/>
    </row>
    <row r="633" spans="1:18" ht="12.75" x14ac:dyDescent="0.2">
      <c r="A633" s="304"/>
      <c r="B633" s="305"/>
      <c r="M633" s="306"/>
      <c r="N633" s="306"/>
      <c r="O633" s="306"/>
      <c r="P633" s="306"/>
      <c r="Q633" s="306"/>
      <c r="R633" s="306"/>
    </row>
    <row r="634" spans="1:18" ht="12.75" x14ac:dyDescent="0.2">
      <c r="A634" s="304"/>
      <c r="B634" s="305"/>
      <c r="M634" s="306"/>
      <c r="N634" s="306"/>
      <c r="O634" s="306"/>
      <c r="P634" s="306"/>
      <c r="Q634" s="306"/>
      <c r="R634" s="306"/>
    </row>
    <row r="635" spans="1:18" ht="12.75" x14ac:dyDescent="0.2">
      <c r="A635" s="304"/>
      <c r="B635" s="305"/>
      <c r="M635" s="306"/>
      <c r="N635" s="306"/>
      <c r="O635" s="306"/>
      <c r="P635" s="306"/>
      <c r="Q635" s="306"/>
      <c r="R635" s="306"/>
    </row>
    <row r="636" spans="1:18" ht="12.75" x14ac:dyDescent="0.2">
      <c r="A636" s="304"/>
      <c r="B636" s="305"/>
      <c r="M636" s="306"/>
      <c r="N636" s="306"/>
      <c r="O636" s="306"/>
      <c r="P636" s="306"/>
      <c r="Q636" s="306"/>
      <c r="R636" s="306"/>
    </row>
    <row r="637" spans="1:18" ht="12.75" x14ac:dyDescent="0.2">
      <c r="A637" s="304"/>
      <c r="B637" s="305"/>
      <c r="M637" s="306"/>
      <c r="N637" s="306"/>
      <c r="O637" s="306"/>
      <c r="P637" s="306"/>
      <c r="Q637" s="306"/>
      <c r="R637" s="306"/>
    </row>
    <row r="638" spans="1:18" ht="12.75" x14ac:dyDescent="0.2">
      <c r="A638" s="304"/>
      <c r="B638" s="305"/>
      <c r="M638" s="306"/>
      <c r="N638" s="306"/>
      <c r="O638" s="306"/>
      <c r="P638" s="306"/>
      <c r="Q638" s="306"/>
      <c r="R638" s="306"/>
    </row>
    <row r="639" spans="1:18" ht="12.75" x14ac:dyDescent="0.2">
      <c r="A639" s="304"/>
      <c r="B639" s="305"/>
      <c r="M639" s="306"/>
      <c r="N639" s="306"/>
      <c r="O639" s="306"/>
      <c r="P639" s="306"/>
      <c r="Q639" s="306"/>
      <c r="R639" s="306"/>
    </row>
    <row r="640" spans="1:18" ht="12.75" x14ac:dyDescent="0.2">
      <c r="A640" s="304"/>
      <c r="B640" s="305"/>
      <c r="M640" s="306"/>
      <c r="N640" s="306"/>
      <c r="O640" s="306"/>
      <c r="P640" s="306"/>
      <c r="Q640" s="306"/>
      <c r="R640" s="306"/>
    </row>
    <row r="641" spans="1:18" ht="12.75" x14ac:dyDescent="0.2">
      <c r="A641" s="304"/>
      <c r="B641" s="305"/>
      <c r="M641" s="306"/>
      <c r="N641" s="306"/>
      <c r="O641" s="306"/>
      <c r="P641" s="306"/>
      <c r="Q641" s="306"/>
      <c r="R641" s="306"/>
    </row>
    <row r="642" spans="1:18" ht="12.75" x14ac:dyDescent="0.2">
      <c r="A642" s="304"/>
      <c r="B642" s="305"/>
      <c r="M642" s="306"/>
      <c r="N642" s="306"/>
      <c r="O642" s="306"/>
      <c r="P642" s="306"/>
      <c r="Q642" s="306"/>
      <c r="R642" s="306"/>
    </row>
    <row r="643" spans="1:18" ht="12.75" x14ac:dyDescent="0.2">
      <c r="A643" s="304"/>
      <c r="B643" s="305"/>
      <c r="M643" s="306"/>
      <c r="N643" s="306"/>
      <c r="O643" s="306"/>
      <c r="P643" s="306"/>
      <c r="Q643" s="306"/>
      <c r="R643" s="306"/>
    </row>
    <row r="644" spans="1:18" ht="12.75" x14ac:dyDescent="0.2">
      <c r="A644" s="304"/>
      <c r="B644" s="305"/>
      <c r="M644" s="306"/>
      <c r="N644" s="306"/>
      <c r="O644" s="306"/>
      <c r="P644" s="306"/>
      <c r="Q644" s="306"/>
      <c r="R644" s="306"/>
    </row>
    <row r="645" spans="1:18" ht="12.75" x14ac:dyDescent="0.2">
      <c r="A645" s="304"/>
      <c r="B645" s="305"/>
      <c r="M645" s="306"/>
      <c r="N645" s="306"/>
      <c r="O645" s="306"/>
      <c r="P645" s="306"/>
      <c r="Q645" s="306"/>
      <c r="R645" s="306"/>
    </row>
    <row r="646" spans="1:18" ht="12.75" x14ac:dyDescent="0.2">
      <c r="A646" s="304"/>
      <c r="B646" s="305"/>
      <c r="M646" s="306"/>
      <c r="N646" s="306"/>
      <c r="O646" s="306"/>
      <c r="P646" s="306"/>
      <c r="Q646" s="306"/>
      <c r="R646" s="306"/>
    </row>
    <row r="647" spans="1:18" ht="12.75" x14ac:dyDescent="0.2">
      <c r="A647" s="304"/>
      <c r="B647" s="305"/>
      <c r="M647" s="306"/>
      <c r="N647" s="306"/>
      <c r="O647" s="306"/>
      <c r="P647" s="306"/>
      <c r="Q647" s="306"/>
      <c r="R647" s="306"/>
    </row>
    <row r="648" spans="1:18" ht="12.75" x14ac:dyDescent="0.2">
      <c r="A648" s="304"/>
      <c r="B648" s="305"/>
      <c r="M648" s="306"/>
      <c r="N648" s="306"/>
      <c r="O648" s="306"/>
      <c r="P648" s="306"/>
      <c r="Q648" s="306"/>
      <c r="R648" s="306"/>
    </row>
    <row r="649" spans="1:18" ht="12.75" x14ac:dyDescent="0.2">
      <c r="A649" s="304"/>
      <c r="B649" s="305"/>
      <c r="M649" s="306"/>
      <c r="N649" s="306"/>
      <c r="O649" s="306"/>
      <c r="P649" s="306"/>
      <c r="Q649" s="306"/>
      <c r="R649" s="306"/>
    </row>
    <row r="650" spans="1:18" ht="12.75" x14ac:dyDescent="0.2">
      <c r="A650" s="304"/>
      <c r="B650" s="305"/>
      <c r="M650" s="306"/>
      <c r="N650" s="306"/>
      <c r="O650" s="306"/>
      <c r="P650" s="306"/>
      <c r="Q650" s="306"/>
      <c r="R650" s="306"/>
    </row>
    <row r="651" spans="1:18" ht="12.75" x14ac:dyDescent="0.2">
      <c r="A651" s="304"/>
      <c r="B651" s="305"/>
      <c r="M651" s="306"/>
      <c r="N651" s="306"/>
      <c r="O651" s="306"/>
      <c r="P651" s="306"/>
      <c r="Q651" s="306"/>
      <c r="R651" s="306"/>
    </row>
    <row r="652" spans="1:18" ht="12.75" x14ac:dyDescent="0.2">
      <c r="A652" s="304"/>
      <c r="B652" s="305"/>
      <c r="M652" s="306"/>
      <c r="N652" s="306"/>
      <c r="O652" s="306"/>
      <c r="P652" s="306"/>
      <c r="Q652" s="306"/>
      <c r="R652" s="306"/>
    </row>
    <row r="653" spans="1:18" ht="12.75" x14ac:dyDescent="0.2">
      <c r="A653" s="304"/>
      <c r="B653" s="305"/>
      <c r="M653" s="306"/>
      <c r="N653" s="306"/>
      <c r="O653" s="306"/>
      <c r="P653" s="306"/>
      <c r="Q653" s="306"/>
      <c r="R653" s="306"/>
    </row>
    <row r="654" spans="1:18" ht="12.75" x14ac:dyDescent="0.2">
      <c r="A654" s="304"/>
      <c r="B654" s="305"/>
      <c r="M654" s="306"/>
      <c r="N654" s="306"/>
      <c r="O654" s="306"/>
      <c r="P654" s="306"/>
      <c r="Q654" s="306"/>
      <c r="R654" s="306"/>
    </row>
    <row r="655" spans="1:18" ht="12.75" x14ac:dyDescent="0.2">
      <c r="A655" s="304"/>
      <c r="B655" s="305"/>
      <c r="M655" s="306"/>
      <c r="N655" s="306"/>
      <c r="O655" s="306"/>
      <c r="P655" s="306"/>
      <c r="Q655" s="306"/>
      <c r="R655" s="306"/>
    </row>
    <row r="656" spans="1:18" ht="12.75" x14ac:dyDescent="0.2">
      <c r="A656" s="304"/>
      <c r="B656" s="305"/>
      <c r="M656" s="306"/>
      <c r="N656" s="306"/>
      <c r="O656" s="306"/>
      <c r="P656" s="306"/>
      <c r="Q656" s="306"/>
      <c r="R656" s="306"/>
    </row>
    <row r="657" spans="1:18" ht="12.75" x14ac:dyDescent="0.2">
      <c r="A657" s="304"/>
      <c r="B657" s="305"/>
      <c r="M657" s="306"/>
      <c r="N657" s="306"/>
      <c r="O657" s="306"/>
      <c r="P657" s="306"/>
      <c r="Q657" s="306"/>
      <c r="R657" s="306"/>
    </row>
    <row r="658" spans="1:18" ht="12.75" x14ac:dyDescent="0.2">
      <c r="A658" s="304"/>
      <c r="B658" s="305"/>
      <c r="M658" s="306"/>
      <c r="N658" s="306"/>
      <c r="O658" s="306"/>
      <c r="P658" s="306"/>
      <c r="Q658" s="306"/>
      <c r="R658" s="306"/>
    </row>
    <row r="659" spans="1:18" ht="12.75" x14ac:dyDescent="0.2">
      <c r="A659" s="304"/>
      <c r="B659" s="305"/>
      <c r="M659" s="306"/>
      <c r="N659" s="306"/>
      <c r="O659" s="306"/>
      <c r="P659" s="306"/>
      <c r="Q659" s="306"/>
      <c r="R659" s="306"/>
    </row>
    <row r="660" spans="1:18" ht="12.75" x14ac:dyDescent="0.2">
      <c r="A660" s="304"/>
      <c r="B660" s="305"/>
      <c r="M660" s="306"/>
      <c r="N660" s="306"/>
      <c r="O660" s="306"/>
      <c r="P660" s="306"/>
      <c r="Q660" s="306"/>
      <c r="R660" s="306"/>
    </row>
    <row r="661" spans="1:18" ht="12.75" x14ac:dyDescent="0.2">
      <c r="A661" s="304"/>
      <c r="B661" s="305"/>
      <c r="M661" s="306"/>
      <c r="N661" s="306"/>
      <c r="O661" s="306"/>
      <c r="P661" s="306"/>
      <c r="Q661" s="306"/>
      <c r="R661" s="306"/>
    </row>
    <row r="662" spans="1:18" ht="12.75" x14ac:dyDescent="0.2">
      <c r="A662" s="304"/>
      <c r="B662" s="305"/>
      <c r="M662" s="306"/>
      <c r="N662" s="306"/>
      <c r="O662" s="306"/>
      <c r="P662" s="306"/>
      <c r="Q662" s="306"/>
      <c r="R662" s="306"/>
    </row>
    <row r="663" spans="1:18" ht="12.75" x14ac:dyDescent="0.2">
      <c r="A663" s="304"/>
      <c r="B663" s="305"/>
      <c r="M663" s="306"/>
      <c r="N663" s="306"/>
      <c r="O663" s="306"/>
      <c r="P663" s="306"/>
      <c r="Q663" s="306"/>
      <c r="R663" s="306"/>
    </row>
    <row r="664" spans="1:18" ht="12.75" x14ac:dyDescent="0.2">
      <c r="A664" s="304"/>
      <c r="B664" s="305"/>
      <c r="M664" s="306"/>
      <c r="N664" s="306"/>
      <c r="O664" s="306"/>
      <c r="P664" s="306"/>
      <c r="Q664" s="306"/>
      <c r="R664" s="306"/>
    </row>
    <row r="665" spans="1:18" ht="12.75" x14ac:dyDescent="0.2">
      <c r="A665" s="304"/>
      <c r="B665" s="305"/>
      <c r="M665" s="306"/>
      <c r="N665" s="306"/>
      <c r="O665" s="306"/>
      <c r="P665" s="306"/>
      <c r="Q665" s="306"/>
      <c r="R665" s="306"/>
    </row>
    <row r="666" spans="1:18" ht="12.75" x14ac:dyDescent="0.2">
      <c r="A666" s="304"/>
      <c r="B666" s="305"/>
      <c r="M666" s="306"/>
      <c r="N666" s="306"/>
      <c r="O666" s="306"/>
      <c r="P666" s="306"/>
      <c r="Q666" s="306"/>
      <c r="R666" s="306"/>
    </row>
    <row r="667" spans="1:18" ht="12.75" x14ac:dyDescent="0.2">
      <c r="A667" s="304"/>
      <c r="B667" s="305"/>
      <c r="M667" s="306"/>
      <c r="N667" s="306"/>
      <c r="O667" s="306"/>
      <c r="P667" s="306"/>
      <c r="Q667" s="306"/>
      <c r="R667" s="306"/>
    </row>
    <row r="668" spans="1:18" ht="12.75" x14ac:dyDescent="0.2">
      <c r="A668" s="304"/>
      <c r="B668" s="305"/>
      <c r="M668" s="306"/>
      <c r="N668" s="306"/>
      <c r="O668" s="306"/>
      <c r="P668" s="306"/>
      <c r="Q668" s="306"/>
      <c r="R668" s="306"/>
    </row>
    <row r="669" spans="1:18" ht="12.75" x14ac:dyDescent="0.2">
      <c r="A669" s="304"/>
      <c r="B669" s="305"/>
      <c r="M669" s="306"/>
      <c r="N669" s="306"/>
      <c r="O669" s="306"/>
      <c r="P669" s="306"/>
      <c r="Q669" s="306"/>
      <c r="R669" s="306"/>
    </row>
    <row r="670" spans="1:18" ht="12.75" x14ac:dyDescent="0.2">
      <c r="A670" s="304"/>
      <c r="B670" s="305"/>
      <c r="M670" s="306"/>
      <c r="N670" s="306"/>
      <c r="O670" s="306"/>
      <c r="P670" s="306"/>
      <c r="Q670" s="306"/>
      <c r="R670" s="306"/>
    </row>
    <row r="671" spans="1:18" ht="12.75" x14ac:dyDescent="0.2">
      <c r="A671" s="304"/>
      <c r="B671" s="305"/>
      <c r="M671" s="306"/>
      <c r="N671" s="306"/>
      <c r="O671" s="306"/>
      <c r="P671" s="306"/>
      <c r="Q671" s="306"/>
      <c r="R671" s="306"/>
    </row>
    <row r="672" spans="1:18" ht="12.75" x14ac:dyDescent="0.2">
      <c r="A672" s="304"/>
      <c r="B672" s="305"/>
      <c r="M672" s="306"/>
      <c r="N672" s="306"/>
      <c r="O672" s="306"/>
      <c r="P672" s="306"/>
      <c r="Q672" s="306"/>
      <c r="R672" s="306"/>
    </row>
    <row r="673" spans="1:18" ht="12.75" x14ac:dyDescent="0.2">
      <c r="A673" s="304"/>
      <c r="B673" s="305"/>
      <c r="M673" s="306"/>
      <c r="N673" s="306"/>
      <c r="O673" s="306"/>
      <c r="P673" s="306"/>
      <c r="Q673" s="306"/>
      <c r="R673" s="306"/>
    </row>
    <row r="674" spans="1:18" ht="12.75" x14ac:dyDescent="0.2">
      <c r="A674" s="304"/>
      <c r="B674" s="305"/>
      <c r="M674" s="306"/>
      <c r="N674" s="306"/>
      <c r="O674" s="306"/>
      <c r="P674" s="306"/>
      <c r="Q674" s="306"/>
      <c r="R674" s="306"/>
    </row>
    <row r="675" spans="1:18" ht="12.75" x14ac:dyDescent="0.2">
      <c r="A675" s="304"/>
      <c r="B675" s="305"/>
      <c r="M675" s="306"/>
      <c r="N675" s="306"/>
      <c r="O675" s="306"/>
      <c r="P675" s="306"/>
      <c r="Q675" s="306"/>
      <c r="R675" s="306"/>
    </row>
    <row r="676" spans="1:18" ht="12.75" x14ac:dyDescent="0.2">
      <c r="A676" s="304"/>
      <c r="B676" s="305"/>
      <c r="M676" s="306"/>
      <c r="N676" s="306"/>
      <c r="O676" s="306"/>
      <c r="P676" s="306"/>
      <c r="Q676" s="306"/>
      <c r="R676" s="306"/>
    </row>
    <row r="677" spans="1:18" ht="12.75" x14ac:dyDescent="0.2">
      <c r="A677" s="304"/>
      <c r="B677" s="305"/>
      <c r="M677" s="306"/>
      <c r="N677" s="306"/>
      <c r="O677" s="306"/>
      <c r="P677" s="306"/>
      <c r="Q677" s="306"/>
      <c r="R677" s="306"/>
    </row>
    <row r="678" spans="1:18" ht="12.75" x14ac:dyDescent="0.2">
      <c r="A678" s="304"/>
      <c r="B678" s="305"/>
      <c r="M678" s="306"/>
      <c r="N678" s="306"/>
      <c r="O678" s="306"/>
      <c r="P678" s="306"/>
      <c r="Q678" s="306"/>
      <c r="R678" s="306"/>
    </row>
    <row r="679" spans="1:18" ht="12.75" x14ac:dyDescent="0.2">
      <c r="A679" s="304"/>
      <c r="B679" s="305"/>
      <c r="M679" s="306"/>
      <c r="N679" s="306"/>
      <c r="O679" s="306"/>
      <c r="P679" s="306"/>
      <c r="Q679" s="306"/>
      <c r="R679" s="306"/>
    </row>
    <row r="680" spans="1:18" ht="12.75" x14ac:dyDescent="0.2">
      <c r="A680" s="304"/>
      <c r="B680" s="305"/>
      <c r="M680" s="306"/>
      <c r="N680" s="306"/>
      <c r="O680" s="306"/>
      <c r="P680" s="306"/>
      <c r="Q680" s="306"/>
      <c r="R680" s="306"/>
    </row>
    <row r="681" spans="1:18" ht="12.75" x14ac:dyDescent="0.2">
      <c r="A681" s="304"/>
      <c r="B681" s="305"/>
      <c r="M681" s="306"/>
      <c r="N681" s="306"/>
      <c r="O681" s="306"/>
      <c r="P681" s="306"/>
      <c r="Q681" s="306"/>
      <c r="R681" s="306"/>
    </row>
    <row r="682" spans="1:18" ht="12.75" x14ac:dyDescent="0.2">
      <c r="A682" s="304"/>
      <c r="B682" s="305"/>
      <c r="M682" s="306"/>
      <c r="N682" s="306"/>
      <c r="O682" s="306"/>
      <c r="P682" s="306"/>
      <c r="Q682" s="306"/>
      <c r="R682" s="306"/>
    </row>
    <row r="683" spans="1:18" ht="12.75" x14ac:dyDescent="0.2">
      <c r="A683" s="304"/>
      <c r="B683" s="305"/>
      <c r="M683" s="306"/>
      <c r="N683" s="306"/>
      <c r="O683" s="306"/>
      <c r="P683" s="306"/>
      <c r="Q683" s="306"/>
      <c r="R683" s="306"/>
    </row>
    <row r="684" spans="1:18" ht="12.75" x14ac:dyDescent="0.2">
      <c r="A684" s="304"/>
      <c r="B684" s="305"/>
      <c r="M684" s="306"/>
      <c r="N684" s="306"/>
      <c r="O684" s="306"/>
      <c r="P684" s="306"/>
      <c r="Q684" s="306"/>
      <c r="R684" s="306"/>
    </row>
    <row r="685" spans="1:18" ht="12.75" x14ac:dyDescent="0.2">
      <c r="A685" s="304"/>
      <c r="B685" s="305"/>
      <c r="M685" s="306"/>
      <c r="N685" s="306"/>
      <c r="O685" s="306"/>
      <c r="P685" s="306"/>
      <c r="Q685" s="306"/>
      <c r="R685" s="306"/>
    </row>
    <row r="686" spans="1:18" ht="12.75" x14ac:dyDescent="0.2">
      <c r="A686" s="304"/>
      <c r="B686" s="305"/>
      <c r="M686" s="306"/>
      <c r="N686" s="306"/>
      <c r="O686" s="306"/>
      <c r="P686" s="306"/>
      <c r="Q686" s="306"/>
      <c r="R686" s="306"/>
    </row>
    <row r="687" spans="1:18" ht="12.75" x14ac:dyDescent="0.2">
      <c r="A687" s="304"/>
      <c r="B687" s="305"/>
      <c r="M687" s="306"/>
      <c r="N687" s="306"/>
      <c r="O687" s="306"/>
      <c r="P687" s="306"/>
      <c r="Q687" s="306"/>
      <c r="R687" s="306"/>
    </row>
    <row r="688" spans="1:18" ht="12.75" x14ac:dyDescent="0.2">
      <c r="A688" s="304"/>
      <c r="B688" s="305"/>
      <c r="M688" s="306"/>
      <c r="N688" s="306"/>
      <c r="O688" s="306"/>
      <c r="P688" s="306"/>
      <c r="Q688" s="306"/>
      <c r="R688" s="306"/>
    </row>
    <row r="689" spans="1:18" ht="12.75" x14ac:dyDescent="0.2">
      <c r="A689" s="304"/>
      <c r="B689" s="305"/>
      <c r="M689" s="306"/>
      <c r="N689" s="306"/>
      <c r="O689" s="306"/>
      <c r="P689" s="306"/>
      <c r="Q689" s="306"/>
      <c r="R689" s="306"/>
    </row>
    <row r="690" spans="1:18" ht="12.75" x14ac:dyDescent="0.2">
      <c r="A690" s="304"/>
      <c r="B690" s="305"/>
      <c r="M690" s="306"/>
      <c r="N690" s="306"/>
      <c r="O690" s="306"/>
      <c r="P690" s="306"/>
      <c r="Q690" s="306"/>
      <c r="R690" s="306"/>
    </row>
    <row r="691" spans="1:18" ht="12.75" x14ac:dyDescent="0.2">
      <c r="A691" s="304"/>
      <c r="B691" s="305"/>
      <c r="M691" s="306"/>
      <c r="N691" s="306"/>
      <c r="O691" s="306"/>
      <c r="P691" s="306"/>
      <c r="Q691" s="306"/>
      <c r="R691" s="306"/>
    </row>
    <row r="692" spans="1:18" ht="12.75" x14ac:dyDescent="0.2">
      <c r="A692" s="304"/>
      <c r="B692" s="305"/>
      <c r="M692" s="306"/>
      <c r="N692" s="306"/>
      <c r="O692" s="306"/>
      <c r="P692" s="306"/>
      <c r="Q692" s="306"/>
      <c r="R692" s="306"/>
    </row>
    <row r="693" spans="1:18" ht="12.75" x14ac:dyDescent="0.2">
      <c r="A693" s="304"/>
      <c r="B693" s="305"/>
      <c r="M693" s="306"/>
      <c r="N693" s="306"/>
      <c r="O693" s="306"/>
      <c r="P693" s="306"/>
      <c r="Q693" s="306"/>
      <c r="R693" s="306"/>
    </row>
    <row r="694" spans="1:18" ht="12.75" x14ac:dyDescent="0.2">
      <c r="A694" s="304"/>
      <c r="B694" s="305"/>
      <c r="M694" s="306"/>
      <c r="N694" s="306"/>
      <c r="O694" s="306"/>
      <c r="P694" s="306"/>
      <c r="Q694" s="306"/>
      <c r="R694" s="306"/>
    </row>
    <row r="695" spans="1:18" ht="12.75" x14ac:dyDescent="0.2">
      <c r="A695" s="304"/>
      <c r="B695" s="305"/>
      <c r="M695" s="306"/>
      <c r="N695" s="306"/>
      <c r="O695" s="306"/>
      <c r="P695" s="306"/>
      <c r="Q695" s="306"/>
      <c r="R695" s="306"/>
    </row>
    <row r="696" spans="1:18" ht="12.75" x14ac:dyDescent="0.2">
      <c r="A696" s="304"/>
      <c r="B696" s="305"/>
      <c r="M696" s="306"/>
      <c r="N696" s="306"/>
      <c r="O696" s="306"/>
      <c r="P696" s="306"/>
      <c r="Q696" s="306"/>
      <c r="R696" s="306"/>
    </row>
    <row r="697" spans="1:18" ht="12.75" x14ac:dyDescent="0.2">
      <c r="A697" s="304"/>
      <c r="B697" s="305"/>
      <c r="M697" s="306"/>
      <c r="N697" s="306"/>
      <c r="O697" s="306"/>
      <c r="P697" s="306"/>
      <c r="Q697" s="306"/>
      <c r="R697" s="306"/>
    </row>
    <row r="698" spans="1:18" ht="12.75" x14ac:dyDescent="0.2">
      <c r="A698" s="304"/>
      <c r="B698" s="305"/>
      <c r="M698" s="306"/>
      <c r="N698" s="306"/>
      <c r="O698" s="306"/>
      <c r="P698" s="306"/>
      <c r="Q698" s="306"/>
      <c r="R698" s="306"/>
    </row>
    <row r="699" spans="1:18" ht="12.75" x14ac:dyDescent="0.2">
      <c r="A699" s="304"/>
      <c r="B699" s="305"/>
      <c r="M699" s="306"/>
      <c r="N699" s="306"/>
      <c r="O699" s="306"/>
      <c r="P699" s="306"/>
      <c r="Q699" s="306"/>
      <c r="R699" s="306"/>
    </row>
    <row r="700" spans="1:18" ht="12.75" x14ac:dyDescent="0.2">
      <c r="A700" s="304"/>
      <c r="B700" s="305"/>
      <c r="M700" s="306"/>
      <c r="N700" s="306"/>
      <c r="O700" s="306"/>
      <c r="P700" s="306"/>
      <c r="Q700" s="306"/>
      <c r="R700" s="306"/>
    </row>
    <row r="701" spans="1:18" ht="12.75" x14ac:dyDescent="0.2">
      <c r="A701" s="304"/>
      <c r="B701" s="305"/>
      <c r="M701" s="306"/>
      <c r="N701" s="306"/>
      <c r="O701" s="306"/>
      <c r="P701" s="306"/>
      <c r="Q701" s="306"/>
      <c r="R701" s="306"/>
    </row>
    <row r="702" spans="1:18" ht="12.75" x14ac:dyDescent="0.2">
      <c r="A702" s="304"/>
      <c r="B702" s="305"/>
      <c r="M702" s="306"/>
      <c r="N702" s="306"/>
      <c r="O702" s="306"/>
      <c r="P702" s="306"/>
      <c r="Q702" s="306"/>
      <c r="R702" s="306"/>
    </row>
    <row r="703" spans="1:18" ht="12.75" x14ac:dyDescent="0.2">
      <c r="A703" s="304"/>
      <c r="B703" s="305"/>
      <c r="M703" s="306"/>
      <c r="N703" s="306"/>
      <c r="O703" s="306"/>
      <c r="P703" s="306"/>
      <c r="Q703" s="306"/>
      <c r="R703" s="306"/>
    </row>
    <row r="704" spans="1:18" ht="12.75" x14ac:dyDescent="0.2">
      <c r="A704" s="304"/>
      <c r="B704" s="305"/>
      <c r="M704" s="306"/>
      <c r="N704" s="306"/>
      <c r="O704" s="306"/>
      <c r="P704" s="306"/>
      <c r="Q704" s="306"/>
      <c r="R704" s="306"/>
    </row>
    <row r="705" spans="1:18" ht="12.75" x14ac:dyDescent="0.2">
      <c r="A705" s="304"/>
      <c r="B705" s="305"/>
      <c r="M705" s="306"/>
      <c r="N705" s="306"/>
      <c r="O705" s="306"/>
      <c r="P705" s="306"/>
      <c r="Q705" s="306"/>
      <c r="R705" s="306"/>
    </row>
    <row r="706" spans="1:18" ht="12.75" x14ac:dyDescent="0.2">
      <c r="A706" s="304"/>
      <c r="B706" s="305"/>
      <c r="M706" s="306"/>
      <c r="N706" s="306"/>
      <c r="O706" s="306"/>
      <c r="P706" s="306"/>
      <c r="Q706" s="306"/>
      <c r="R706" s="306"/>
    </row>
    <row r="707" spans="1:18" ht="12.75" x14ac:dyDescent="0.2">
      <c r="A707" s="304"/>
      <c r="B707" s="305"/>
      <c r="M707" s="306"/>
      <c r="N707" s="306"/>
      <c r="O707" s="306"/>
      <c r="P707" s="306"/>
      <c r="Q707" s="306"/>
      <c r="R707" s="306"/>
    </row>
    <row r="708" spans="1:18" ht="12.75" x14ac:dyDescent="0.2">
      <c r="A708" s="304"/>
      <c r="B708" s="305"/>
      <c r="M708" s="306"/>
      <c r="N708" s="306"/>
      <c r="O708" s="306"/>
      <c r="P708" s="306"/>
      <c r="Q708" s="306"/>
      <c r="R708" s="306"/>
    </row>
    <row r="709" spans="1:18" ht="12.75" x14ac:dyDescent="0.2">
      <c r="A709" s="304"/>
      <c r="B709" s="305"/>
      <c r="M709" s="306"/>
      <c r="N709" s="306"/>
      <c r="O709" s="306"/>
      <c r="P709" s="306"/>
      <c r="Q709" s="306"/>
      <c r="R709" s="306"/>
    </row>
    <row r="710" spans="1:18" ht="12.75" x14ac:dyDescent="0.2">
      <c r="A710" s="304"/>
      <c r="B710" s="305"/>
      <c r="M710" s="306"/>
      <c r="N710" s="306"/>
      <c r="O710" s="306"/>
      <c r="P710" s="306"/>
      <c r="Q710" s="306"/>
      <c r="R710" s="306"/>
    </row>
    <row r="711" spans="1:18" ht="12.75" x14ac:dyDescent="0.2">
      <c r="A711" s="304"/>
      <c r="B711" s="305"/>
      <c r="M711" s="306"/>
      <c r="N711" s="306"/>
      <c r="O711" s="306"/>
      <c r="P711" s="306"/>
      <c r="Q711" s="306"/>
      <c r="R711" s="306"/>
    </row>
    <row r="712" spans="1:18" ht="12.75" x14ac:dyDescent="0.2">
      <c r="A712" s="304"/>
      <c r="B712" s="305"/>
      <c r="M712" s="306"/>
      <c r="N712" s="306"/>
      <c r="O712" s="306"/>
      <c r="P712" s="306"/>
      <c r="Q712" s="306"/>
      <c r="R712" s="306"/>
    </row>
    <row r="713" spans="1:18" ht="12.75" x14ac:dyDescent="0.2">
      <c r="A713" s="304"/>
      <c r="B713" s="305"/>
      <c r="M713" s="306"/>
      <c r="N713" s="306"/>
      <c r="O713" s="306"/>
      <c r="P713" s="306"/>
      <c r="Q713" s="306"/>
      <c r="R713" s="306"/>
    </row>
    <row r="714" spans="1:18" ht="12.75" x14ac:dyDescent="0.2">
      <c r="A714" s="304"/>
      <c r="B714" s="305"/>
      <c r="M714" s="306"/>
      <c r="N714" s="306"/>
      <c r="O714" s="306"/>
      <c r="P714" s="306"/>
      <c r="Q714" s="306"/>
      <c r="R714" s="306"/>
    </row>
    <row r="715" spans="1:18" ht="12.75" x14ac:dyDescent="0.2">
      <c r="A715" s="304"/>
      <c r="B715" s="305"/>
      <c r="M715" s="306"/>
      <c r="N715" s="306"/>
      <c r="O715" s="306"/>
      <c r="P715" s="306"/>
      <c r="Q715" s="306"/>
      <c r="R715" s="306"/>
    </row>
    <row r="716" spans="1:18" ht="12.75" x14ac:dyDescent="0.2">
      <c r="A716" s="304"/>
      <c r="B716" s="305"/>
      <c r="M716" s="306"/>
      <c r="N716" s="306"/>
      <c r="O716" s="306"/>
      <c r="P716" s="306"/>
      <c r="Q716" s="306"/>
      <c r="R716" s="306"/>
    </row>
    <row r="717" spans="1:18" ht="12.75" x14ac:dyDescent="0.2">
      <c r="A717" s="304"/>
      <c r="B717" s="305"/>
      <c r="M717" s="306"/>
      <c r="N717" s="306"/>
      <c r="O717" s="306"/>
      <c r="P717" s="306"/>
      <c r="Q717" s="306"/>
      <c r="R717" s="306"/>
    </row>
    <row r="718" spans="1:18" ht="12.75" x14ac:dyDescent="0.2">
      <c r="A718" s="304"/>
      <c r="B718" s="305"/>
      <c r="M718" s="306"/>
      <c r="N718" s="306"/>
      <c r="O718" s="306"/>
      <c r="P718" s="306"/>
      <c r="Q718" s="306"/>
      <c r="R718" s="306"/>
    </row>
    <row r="719" spans="1:18" ht="12.75" x14ac:dyDescent="0.2">
      <c r="A719" s="304"/>
      <c r="B719" s="305"/>
      <c r="M719" s="306"/>
      <c r="N719" s="306"/>
      <c r="O719" s="306"/>
      <c r="P719" s="306"/>
      <c r="Q719" s="306"/>
      <c r="R719" s="306"/>
    </row>
    <row r="720" spans="1:18" ht="12.75" x14ac:dyDescent="0.2">
      <c r="A720" s="304"/>
      <c r="B720" s="305"/>
      <c r="M720" s="306"/>
      <c r="N720" s="306"/>
      <c r="O720" s="306"/>
      <c r="P720" s="306"/>
      <c r="Q720" s="306"/>
      <c r="R720" s="306"/>
    </row>
    <row r="721" spans="1:18" ht="12.75" x14ac:dyDescent="0.2">
      <c r="A721" s="304"/>
      <c r="B721" s="305"/>
      <c r="M721" s="306"/>
      <c r="N721" s="306"/>
      <c r="O721" s="306"/>
      <c r="P721" s="306"/>
      <c r="Q721" s="306"/>
      <c r="R721" s="306"/>
    </row>
    <row r="722" spans="1:18" ht="12.75" x14ac:dyDescent="0.2">
      <c r="A722" s="304"/>
      <c r="B722" s="305"/>
      <c r="M722" s="306"/>
      <c r="N722" s="306"/>
      <c r="O722" s="306"/>
      <c r="P722" s="306"/>
      <c r="Q722" s="306"/>
      <c r="R722" s="306"/>
    </row>
    <row r="723" spans="1:18" ht="12.75" x14ac:dyDescent="0.2">
      <c r="A723" s="304"/>
      <c r="B723" s="305"/>
      <c r="M723" s="306"/>
      <c r="N723" s="306"/>
      <c r="O723" s="306"/>
      <c r="P723" s="306"/>
      <c r="Q723" s="306"/>
      <c r="R723" s="306"/>
    </row>
    <row r="724" spans="1:18" ht="12.75" x14ac:dyDescent="0.2">
      <c r="A724" s="304"/>
      <c r="B724" s="305"/>
      <c r="M724" s="306"/>
      <c r="N724" s="306"/>
      <c r="O724" s="306"/>
      <c r="P724" s="306"/>
      <c r="Q724" s="306"/>
      <c r="R724" s="306"/>
    </row>
    <row r="725" spans="1:18" ht="12.75" x14ac:dyDescent="0.2">
      <c r="A725" s="304"/>
      <c r="B725" s="305"/>
      <c r="M725" s="306"/>
      <c r="N725" s="306"/>
      <c r="O725" s="306"/>
      <c r="P725" s="306"/>
      <c r="Q725" s="306"/>
      <c r="R725" s="306"/>
    </row>
    <row r="726" spans="1:18" ht="12.75" x14ac:dyDescent="0.2">
      <c r="A726" s="304"/>
      <c r="B726" s="305"/>
      <c r="M726" s="306"/>
      <c r="N726" s="306"/>
      <c r="O726" s="306"/>
      <c r="P726" s="306"/>
      <c r="Q726" s="306"/>
      <c r="R726" s="306"/>
    </row>
    <row r="727" spans="1:18" ht="12.75" x14ac:dyDescent="0.2">
      <c r="A727" s="304"/>
      <c r="B727" s="305"/>
      <c r="M727" s="306"/>
      <c r="N727" s="306"/>
      <c r="O727" s="306"/>
      <c r="P727" s="306"/>
      <c r="Q727" s="306"/>
      <c r="R727" s="306"/>
    </row>
    <row r="728" spans="1:18" ht="12.75" x14ac:dyDescent="0.2">
      <c r="A728" s="304"/>
      <c r="B728" s="305"/>
      <c r="M728" s="306"/>
      <c r="N728" s="306"/>
      <c r="O728" s="306"/>
      <c r="P728" s="306"/>
      <c r="Q728" s="306"/>
      <c r="R728" s="306"/>
    </row>
    <row r="729" spans="1:18" ht="12.75" x14ac:dyDescent="0.2">
      <c r="A729" s="304"/>
      <c r="B729" s="305"/>
      <c r="M729" s="306"/>
      <c r="N729" s="306"/>
      <c r="O729" s="306"/>
      <c r="P729" s="306"/>
      <c r="Q729" s="306"/>
      <c r="R729" s="306"/>
    </row>
    <row r="730" spans="1:18" ht="12.75" x14ac:dyDescent="0.2">
      <c r="A730" s="304"/>
      <c r="B730" s="305"/>
      <c r="M730" s="306"/>
      <c r="N730" s="306"/>
      <c r="O730" s="306"/>
      <c r="P730" s="306"/>
      <c r="Q730" s="306"/>
      <c r="R730" s="306"/>
    </row>
    <row r="731" spans="1:18" ht="12.75" x14ac:dyDescent="0.2">
      <c r="A731" s="304"/>
      <c r="B731" s="305"/>
      <c r="M731" s="306"/>
      <c r="N731" s="306"/>
      <c r="O731" s="306"/>
      <c r="P731" s="306"/>
      <c r="Q731" s="306"/>
      <c r="R731" s="306"/>
    </row>
    <row r="732" spans="1:18" ht="12.75" x14ac:dyDescent="0.2">
      <c r="A732" s="304"/>
      <c r="B732" s="305"/>
      <c r="M732" s="306"/>
      <c r="N732" s="306"/>
      <c r="O732" s="306"/>
      <c r="P732" s="306"/>
      <c r="Q732" s="306"/>
      <c r="R732" s="306"/>
    </row>
    <row r="733" spans="1:18" ht="12.75" x14ac:dyDescent="0.2">
      <c r="A733" s="304"/>
      <c r="B733" s="305"/>
      <c r="M733" s="306"/>
      <c r="N733" s="306"/>
      <c r="O733" s="306"/>
      <c r="P733" s="306"/>
      <c r="Q733" s="306"/>
      <c r="R733" s="306"/>
    </row>
    <row r="734" spans="1:18" ht="12.75" x14ac:dyDescent="0.2">
      <c r="A734" s="304"/>
      <c r="B734" s="305"/>
      <c r="M734" s="306"/>
      <c r="N734" s="306"/>
      <c r="O734" s="306"/>
      <c r="P734" s="306"/>
      <c r="Q734" s="306"/>
      <c r="R734" s="306"/>
    </row>
    <row r="735" spans="1:18" ht="12.75" x14ac:dyDescent="0.2">
      <c r="A735" s="304"/>
      <c r="B735" s="305"/>
      <c r="M735" s="306"/>
      <c r="N735" s="306"/>
      <c r="O735" s="306"/>
      <c r="P735" s="306"/>
      <c r="Q735" s="306"/>
      <c r="R735" s="306"/>
    </row>
    <row r="736" spans="1:18" ht="12.75" x14ac:dyDescent="0.2">
      <c r="A736" s="304"/>
      <c r="B736" s="305"/>
      <c r="M736" s="306"/>
      <c r="N736" s="306"/>
      <c r="O736" s="306"/>
      <c r="P736" s="306"/>
      <c r="Q736" s="306"/>
      <c r="R736" s="306"/>
    </row>
    <row r="737" spans="1:18" ht="12.75" x14ac:dyDescent="0.2">
      <c r="A737" s="304"/>
      <c r="B737" s="305"/>
      <c r="M737" s="306"/>
      <c r="N737" s="306"/>
      <c r="O737" s="306"/>
      <c r="P737" s="306"/>
      <c r="Q737" s="306"/>
      <c r="R737" s="306"/>
    </row>
    <row r="738" spans="1:18" ht="12.75" x14ac:dyDescent="0.2">
      <c r="A738" s="304"/>
      <c r="B738" s="305"/>
      <c r="M738" s="306"/>
      <c r="N738" s="306"/>
      <c r="O738" s="306"/>
      <c r="P738" s="306"/>
      <c r="Q738" s="306"/>
      <c r="R738" s="306"/>
    </row>
    <row r="739" spans="1:18" ht="12.75" x14ac:dyDescent="0.2">
      <c r="A739" s="304"/>
      <c r="B739" s="305"/>
      <c r="M739" s="306"/>
      <c r="N739" s="306"/>
      <c r="O739" s="306"/>
      <c r="P739" s="306"/>
      <c r="Q739" s="306"/>
      <c r="R739" s="306"/>
    </row>
    <row r="740" spans="1:18" ht="12.75" x14ac:dyDescent="0.2">
      <c r="A740" s="304"/>
      <c r="B740" s="305"/>
      <c r="M740" s="306"/>
      <c r="N740" s="306"/>
      <c r="O740" s="306"/>
      <c r="P740" s="306"/>
      <c r="Q740" s="306"/>
      <c r="R740" s="306"/>
    </row>
    <row r="741" spans="1:18" ht="12.75" x14ac:dyDescent="0.2">
      <c r="A741" s="304"/>
      <c r="B741" s="305"/>
      <c r="M741" s="306"/>
      <c r="N741" s="306"/>
      <c r="O741" s="306"/>
      <c r="P741" s="306"/>
      <c r="Q741" s="306"/>
      <c r="R741" s="306"/>
    </row>
    <row r="742" spans="1:18" ht="12.75" x14ac:dyDescent="0.2">
      <c r="A742" s="304"/>
      <c r="B742" s="305"/>
      <c r="M742" s="306"/>
      <c r="N742" s="306"/>
      <c r="O742" s="306"/>
      <c r="P742" s="306"/>
      <c r="Q742" s="306"/>
      <c r="R742" s="306"/>
    </row>
    <row r="743" spans="1:18" ht="12.75" x14ac:dyDescent="0.2">
      <c r="A743" s="304"/>
      <c r="B743" s="305"/>
      <c r="M743" s="306"/>
      <c r="N743" s="306"/>
      <c r="O743" s="306"/>
      <c r="P743" s="306"/>
      <c r="Q743" s="306"/>
      <c r="R743" s="306"/>
    </row>
    <row r="744" spans="1:18" ht="12.75" x14ac:dyDescent="0.2">
      <c r="A744" s="304"/>
      <c r="B744" s="305"/>
      <c r="M744" s="306"/>
      <c r="N744" s="306"/>
      <c r="O744" s="306"/>
      <c r="P744" s="306"/>
      <c r="Q744" s="306"/>
      <c r="R744" s="306"/>
    </row>
    <row r="745" spans="1:18" ht="12.75" x14ac:dyDescent="0.2">
      <c r="A745" s="304"/>
      <c r="B745" s="305"/>
      <c r="M745" s="306"/>
      <c r="N745" s="306"/>
      <c r="O745" s="306"/>
      <c r="P745" s="306"/>
      <c r="Q745" s="306"/>
      <c r="R745" s="306"/>
    </row>
    <row r="746" spans="1:18" ht="12.75" x14ac:dyDescent="0.2">
      <c r="A746" s="304"/>
      <c r="B746" s="305"/>
      <c r="M746" s="306"/>
      <c r="N746" s="306"/>
      <c r="O746" s="306"/>
      <c r="P746" s="306"/>
      <c r="Q746" s="306"/>
      <c r="R746" s="306"/>
    </row>
    <row r="747" spans="1:18" ht="12.75" x14ac:dyDescent="0.2">
      <c r="A747" s="304"/>
      <c r="B747" s="305"/>
      <c r="M747" s="306"/>
      <c r="N747" s="306"/>
      <c r="O747" s="306"/>
      <c r="P747" s="306"/>
      <c r="Q747" s="306"/>
      <c r="R747" s="306"/>
    </row>
    <row r="748" spans="1:18" ht="12.75" x14ac:dyDescent="0.2">
      <c r="A748" s="304"/>
      <c r="B748" s="305"/>
      <c r="M748" s="306"/>
      <c r="N748" s="306"/>
      <c r="O748" s="306"/>
      <c r="P748" s="306"/>
      <c r="Q748" s="306"/>
      <c r="R748" s="306"/>
    </row>
    <row r="749" spans="1:18" ht="12.75" x14ac:dyDescent="0.2">
      <c r="A749" s="304"/>
      <c r="B749" s="305"/>
      <c r="M749" s="306"/>
      <c r="N749" s="306"/>
      <c r="O749" s="306"/>
      <c r="P749" s="306"/>
      <c r="Q749" s="306"/>
      <c r="R749" s="306"/>
    </row>
    <row r="750" spans="1:18" ht="12.75" x14ac:dyDescent="0.2">
      <c r="A750" s="304"/>
      <c r="B750" s="305"/>
      <c r="M750" s="306"/>
      <c r="N750" s="306"/>
      <c r="O750" s="306"/>
      <c r="P750" s="306"/>
      <c r="Q750" s="306"/>
      <c r="R750" s="306"/>
    </row>
    <row r="751" spans="1:18" ht="12.75" x14ac:dyDescent="0.2">
      <c r="A751" s="304"/>
      <c r="B751" s="305"/>
      <c r="M751" s="306"/>
      <c r="N751" s="306"/>
      <c r="O751" s="306"/>
      <c r="P751" s="306"/>
      <c r="Q751" s="306"/>
      <c r="R751" s="306"/>
    </row>
    <row r="752" spans="1:18" ht="12.75" x14ac:dyDescent="0.2">
      <c r="A752" s="304"/>
      <c r="B752" s="305"/>
      <c r="M752" s="306"/>
      <c r="N752" s="306"/>
      <c r="O752" s="306"/>
      <c r="P752" s="306"/>
      <c r="Q752" s="306"/>
      <c r="R752" s="306"/>
    </row>
    <row r="753" spans="1:18" ht="12.75" x14ac:dyDescent="0.2">
      <c r="A753" s="304"/>
      <c r="B753" s="305"/>
      <c r="M753" s="306"/>
      <c r="N753" s="306"/>
      <c r="O753" s="306"/>
      <c r="P753" s="306"/>
      <c r="Q753" s="306"/>
      <c r="R753" s="306"/>
    </row>
    <row r="754" spans="1:18" ht="12.75" x14ac:dyDescent="0.2">
      <c r="A754" s="304"/>
      <c r="B754" s="305"/>
      <c r="M754" s="306"/>
      <c r="N754" s="306"/>
      <c r="O754" s="306"/>
      <c r="P754" s="306"/>
      <c r="Q754" s="306"/>
      <c r="R754" s="306"/>
    </row>
    <row r="755" spans="1:18" ht="12.75" x14ac:dyDescent="0.2">
      <c r="A755" s="304"/>
      <c r="B755" s="305"/>
      <c r="M755" s="306"/>
      <c r="N755" s="306"/>
      <c r="O755" s="306"/>
      <c r="P755" s="306"/>
      <c r="Q755" s="306"/>
      <c r="R755" s="306"/>
    </row>
    <row r="756" spans="1:18" ht="12.75" x14ac:dyDescent="0.2">
      <c r="A756" s="304"/>
      <c r="B756" s="305"/>
      <c r="M756" s="306"/>
      <c r="N756" s="306"/>
      <c r="O756" s="306"/>
      <c r="P756" s="306"/>
      <c r="Q756" s="306"/>
      <c r="R756" s="306"/>
    </row>
    <row r="757" spans="1:18" ht="12.75" x14ac:dyDescent="0.2">
      <c r="A757" s="304"/>
      <c r="B757" s="305"/>
      <c r="M757" s="306"/>
      <c r="N757" s="306"/>
      <c r="O757" s="306"/>
      <c r="P757" s="306"/>
      <c r="Q757" s="306"/>
      <c r="R757" s="306"/>
    </row>
    <row r="758" spans="1:18" ht="12.75" x14ac:dyDescent="0.2">
      <c r="A758" s="304"/>
      <c r="B758" s="305"/>
      <c r="M758" s="306"/>
      <c r="N758" s="306"/>
      <c r="O758" s="306"/>
      <c r="P758" s="306"/>
      <c r="Q758" s="306"/>
      <c r="R758" s="306"/>
    </row>
    <row r="759" spans="1:18" ht="12.75" x14ac:dyDescent="0.2">
      <c r="A759" s="304"/>
      <c r="B759" s="305"/>
      <c r="M759" s="306"/>
      <c r="N759" s="306"/>
      <c r="O759" s="306"/>
      <c r="P759" s="306"/>
      <c r="Q759" s="306"/>
      <c r="R759" s="306"/>
    </row>
    <row r="760" spans="1:18" ht="12.75" x14ac:dyDescent="0.2">
      <c r="A760" s="304"/>
      <c r="B760" s="305"/>
      <c r="M760" s="306"/>
      <c r="N760" s="306"/>
      <c r="O760" s="306"/>
      <c r="P760" s="306"/>
      <c r="Q760" s="306"/>
      <c r="R760" s="306"/>
    </row>
    <row r="761" spans="1:18" ht="12.75" x14ac:dyDescent="0.2">
      <c r="A761" s="304"/>
      <c r="B761" s="305"/>
      <c r="M761" s="306"/>
      <c r="N761" s="306"/>
      <c r="O761" s="306"/>
      <c r="P761" s="306"/>
      <c r="Q761" s="306"/>
      <c r="R761" s="306"/>
    </row>
    <row r="762" spans="1:18" ht="12.75" x14ac:dyDescent="0.2">
      <c r="A762" s="304"/>
      <c r="B762" s="305"/>
      <c r="M762" s="306"/>
      <c r="N762" s="306"/>
      <c r="O762" s="306"/>
      <c r="P762" s="306"/>
      <c r="Q762" s="306"/>
      <c r="R762" s="306"/>
    </row>
    <row r="763" spans="1:18" ht="12.75" x14ac:dyDescent="0.2">
      <c r="A763" s="304"/>
      <c r="B763" s="305"/>
      <c r="M763" s="306"/>
      <c r="N763" s="306"/>
      <c r="O763" s="306"/>
      <c r="P763" s="306"/>
      <c r="Q763" s="306"/>
      <c r="R763" s="306"/>
    </row>
    <row r="764" spans="1:18" ht="12.75" x14ac:dyDescent="0.2">
      <c r="A764" s="304"/>
      <c r="B764" s="305"/>
      <c r="M764" s="306"/>
      <c r="N764" s="306"/>
      <c r="O764" s="306"/>
      <c r="P764" s="306"/>
      <c r="Q764" s="306"/>
      <c r="R764" s="306"/>
    </row>
    <row r="765" spans="1:18" ht="12.75" x14ac:dyDescent="0.2">
      <c r="A765" s="304"/>
      <c r="B765" s="305"/>
      <c r="M765" s="306"/>
      <c r="N765" s="306"/>
      <c r="O765" s="306"/>
      <c r="P765" s="306"/>
      <c r="Q765" s="306"/>
      <c r="R765" s="306"/>
    </row>
    <row r="766" spans="1:18" ht="12.75" x14ac:dyDescent="0.2">
      <c r="A766" s="304"/>
      <c r="B766" s="305"/>
      <c r="M766" s="306"/>
      <c r="N766" s="306"/>
      <c r="O766" s="306"/>
      <c r="P766" s="306"/>
      <c r="Q766" s="306"/>
      <c r="R766" s="306"/>
    </row>
    <row r="767" spans="1:18" ht="12.75" x14ac:dyDescent="0.2">
      <c r="A767" s="304"/>
      <c r="B767" s="305"/>
      <c r="M767" s="306"/>
      <c r="N767" s="306"/>
      <c r="O767" s="306"/>
      <c r="P767" s="306"/>
      <c r="Q767" s="306"/>
      <c r="R767" s="306"/>
    </row>
    <row r="768" spans="1:18" ht="12.75" x14ac:dyDescent="0.2">
      <c r="A768" s="304"/>
      <c r="B768" s="305"/>
      <c r="M768" s="306"/>
      <c r="N768" s="306"/>
      <c r="O768" s="306"/>
      <c r="P768" s="306"/>
      <c r="Q768" s="306"/>
      <c r="R768" s="306"/>
    </row>
    <row r="769" spans="1:18" ht="12.75" x14ac:dyDescent="0.2">
      <c r="A769" s="304"/>
      <c r="B769" s="305"/>
      <c r="M769" s="306"/>
      <c r="N769" s="306"/>
      <c r="O769" s="306"/>
      <c r="P769" s="306"/>
      <c r="Q769" s="306"/>
      <c r="R769" s="306"/>
    </row>
    <row r="770" spans="1:18" ht="12.75" x14ac:dyDescent="0.2">
      <c r="A770" s="304"/>
      <c r="B770" s="305"/>
      <c r="M770" s="306"/>
      <c r="N770" s="306"/>
      <c r="O770" s="306"/>
      <c r="P770" s="306"/>
      <c r="Q770" s="306"/>
      <c r="R770" s="306"/>
    </row>
    <row r="771" spans="1:18" ht="12.75" x14ac:dyDescent="0.2">
      <c r="A771" s="304"/>
      <c r="B771" s="305"/>
      <c r="M771" s="306"/>
      <c r="N771" s="306"/>
      <c r="O771" s="306"/>
      <c r="P771" s="306"/>
      <c r="Q771" s="306"/>
      <c r="R771" s="306"/>
    </row>
    <row r="772" spans="1:18" ht="12.75" x14ac:dyDescent="0.2">
      <c r="A772" s="304"/>
      <c r="B772" s="305"/>
      <c r="M772" s="306"/>
      <c r="N772" s="306"/>
      <c r="O772" s="306"/>
      <c r="P772" s="306"/>
      <c r="Q772" s="306"/>
      <c r="R772" s="306"/>
    </row>
    <row r="773" spans="1:18" ht="12.75" x14ac:dyDescent="0.2">
      <c r="A773" s="304"/>
      <c r="B773" s="305"/>
      <c r="M773" s="306"/>
      <c r="N773" s="306"/>
      <c r="O773" s="306"/>
      <c r="P773" s="306"/>
      <c r="Q773" s="306"/>
      <c r="R773" s="306"/>
    </row>
    <row r="774" spans="1:18" ht="12.75" x14ac:dyDescent="0.2">
      <c r="A774" s="304"/>
      <c r="B774" s="305"/>
      <c r="M774" s="306"/>
      <c r="N774" s="306"/>
      <c r="O774" s="306"/>
      <c r="P774" s="306"/>
      <c r="Q774" s="306"/>
      <c r="R774" s="306"/>
    </row>
    <row r="775" spans="1:18" ht="12.75" x14ac:dyDescent="0.2">
      <c r="A775" s="304"/>
      <c r="B775" s="305"/>
      <c r="M775" s="306"/>
      <c r="N775" s="306"/>
      <c r="O775" s="306"/>
      <c r="P775" s="306"/>
      <c r="Q775" s="306"/>
      <c r="R775" s="306"/>
    </row>
    <row r="776" spans="1:18" ht="12.75" x14ac:dyDescent="0.2">
      <c r="A776" s="304"/>
      <c r="B776" s="305"/>
      <c r="M776" s="306"/>
      <c r="N776" s="306"/>
      <c r="O776" s="306"/>
      <c r="P776" s="306"/>
      <c r="Q776" s="306"/>
      <c r="R776" s="306"/>
    </row>
    <row r="777" spans="1:18" ht="12.75" x14ac:dyDescent="0.2">
      <c r="A777" s="304"/>
      <c r="B777" s="305"/>
      <c r="M777" s="306"/>
      <c r="N777" s="306"/>
      <c r="O777" s="306"/>
      <c r="P777" s="306"/>
      <c r="Q777" s="306"/>
      <c r="R777" s="306"/>
    </row>
    <row r="778" spans="1:18" ht="12.75" x14ac:dyDescent="0.2">
      <c r="A778" s="304"/>
      <c r="B778" s="305"/>
      <c r="M778" s="306"/>
      <c r="N778" s="306"/>
      <c r="O778" s="306"/>
      <c r="P778" s="306"/>
      <c r="Q778" s="306"/>
      <c r="R778" s="306"/>
    </row>
    <row r="779" spans="1:18" ht="12.75" x14ac:dyDescent="0.2">
      <c r="A779" s="304"/>
      <c r="B779" s="305"/>
      <c r="M779" s="306"/>
      <c r="N779" s="306"/>
      <c r="O779" s="306"/>
      <c r="P779" s="306"/>
      <c r="Q779" s="306"/>
      <c r="R779" s="306"/>
    </row>
    <row r="780" spans="1:18" ht="12.75" x14ac:dyDescent="0.2">
      <c r="A780" s="304"/>
      <c r="B780" s="305"/>
      <c r="M780" s="306"/>
      <c r="N780" s="306"/>
      <c r="O780" s="306"/>
      <c r="P780" s="306"/>
      <c r="Q780" s="306"/>
      <c r="R780" s="306"/>
    </row>
    <row r="781" spans="1:18" ht="12.75" x14ac:dyDescent="0.2">
      <c r="A781" s="304"/>
      <c r="B781" s="305"/>
      <c r="M781" s="306"/>
      <c r="N781" s="306"/>
      <c r="O781" s="306"/>
      <c r="P781" s="306"/>
      <c r="Q781" s="306"/>
      <c r="R781" s="306"/>
    </row>
    <row r="782" spans="1:18" ht="12.75" x14ac:dyDescent="0.2">
      <c r="A782" s="304"/>
      <c r="B782" s="305"/>
      <c r="M782" s="306"/>
      <c r="N782" s="306"/>
      <c r="O782" s="306"/>
      <c r="P782" s="306"/>
      <c r="Q782" s="306"/>
      <c r="R782" s="306"/>
    </row>
    <row r="783" spans="1:18" ht="12.75" x14ac:dyDescent="0.2">
      <c r="A783" s="304"/>
      <c r="B783" s="305"/>
      <c r="M783" s="306"/>
      <c r="N783" s="306"/>
      <c r="O783" s="306"/>
      <c r="P783" s="306"/>
      <c r="Q783" s="306"/>
      <c r="R783" s="306"/>
    </row>
    <row r="784" spans="1:18" ht="12.75" x14ac:dyDescent="0.2">
      <c r="A784" s="304"/>
      <c r="B784" s="305"/>
      <c r="M784" s="306"/>
      <c r="N784" s="306"/>
      <c r="O784" s="306"/>
      <c r="P784" s="306"/>
      <c r="Q784" s="306"/>
      <c r="R784" s="306"/>
    </row>
    <row r="785" spans="1:18" ht="12.75" x14ac:dyDescent="0.2">
      <c r="A785" s="304"/>
      <c r="B785" s="305"/>
      <c r="M785" s="306"/>
      <c r="N785" s="306"/>
      <c r="O785" s="306"/>
      <c r="P785" s="306"/>
      <c r="Q785" s="306"/>
      <c r="R785" s="306"/>
    </row>
    <row r="786" spans="1:18" ht="12.75" x14ac:dyDescent="0.2">
      <c r="A786" s="304"/>
      <c r="B786" s="305"/>
      <c r="M786" s="306"/>
      <c r="N786" s="306"/>
      <c r="O786" s="306"/>
      <c r="P786" s="306"/>
      <c r="Q786" s="306"/>
      <c r="R786" s="306"/>
    </row>
    <row r="787" spans="1:18" ht="12.75" x14ac:dyDescent="0.2">
      <c r="A787" s="304"/>
      <c r="B787" s="305"/>
      <c r="M787" s="306"/>
      <c r="N787" s="306"/>
      <c r="O787" s="306"/>
      <c r="P787" s="306"/>
      <c r="Q787" s="306"/>
      <c r="R787" s="306"/>
    </row>
    <row r="788" spans="1:18" ht="12.75" x14ac:dyDescent="0.2">
      <c r="A788" s="304"/>
      <c r="B788" s="305"/>
      <c r="M788" s="306"/>
      <c r="N788" s="306"/>
      <c r="O788" s="306"/>
      <c r="P788" s="306"/>
      <c r="Q788" s="306"/>
      <c r="R788" s="306"/>
    </row>
    <row r="789" spans="1:18" ht="12.75" x14ac:dyDescent="0.2">
      <c r="A789" s="304"/>
      <c r="B789" s="305"/>
      <c r="M789" s="306"/>
      <c r="N789" s="306"/>
      <c r="O789" s="306"/>
      <c r="P789" s="306"/>
      <c r="Q789" s="306"/>
      <c r="R789" s="306"/>
    </row>
    <row r="790" spans="1:18" ht="12.75" x14ac:dyDescent="0.2">
      <c r="A790" s="304"/>
      <c r="B790" s="305"/>
      <c r="M790" s="306"/>
      <c r="N790" s="306"/>
      <c r="O790" s="306"/>
      <c r="P790" s="306"/>
      <c r="Q790" s="306"/>
      <c r="R790" s="306"/>
    </row>
    <row r="791" spans="1:18" ht="12.75" x14ac:dyDescent="0.2">
      <c r="A791" s="304"/>
      <c r="B791" s="305"/>
      <c r="M791" s="306"/>
      <c r="N791" s="306"/>
      <c r="O791" s="306"/>
      <c r="P791" s="306"/>
      <c r="Q791" s="306"/>
      <c r="R791" s="306"/>
    </row>
    <row r="792" spans="1:18" ht="12.75" x14ac:dyDescent="0.2">
      <c r="A792" s="304"/>
      <c r="B792" s="305"/>
      <c r="M792" s="306"/>
      <c r="N792" s="306"/>
      <c r="O792" s="306"/>
      <c r="P792" s="306"/>
      <c r="Q792" s="306"/>
      <c r="R792" s="306"/>
    </row>
    <row r="793" spans="1:18" ht="12.75" x14ac:dyDescent="0.2">
      <c r="A793" s="304"/>
      <c r="B793" s="305"/>
      <c r="M793" s="306"/>
      <c r="N793" s="306"/>
      <c r="O793" s="306"/>
      <c r="P793" s="306"/>
      <c r="Q793" s="306"/>
      <c r="R793" s="306"/>
    </row>
    <row r="794" spans="1:18" ht="12.75" x14ac:dyDescent="0.2">
      <c r="A794" s="304"/>
      <c r="B794" s="305"/>
      <c r="M794" s="306"/>
      <c r="N794" s="306"/>
      <c r="O794" s="306"/>
      <c r="P794" s="306"/>
      <c r="Q794" s="306"/>
      <c r="R794" s="306"/>
    </row>
    <row r="795" spans="1:18" ht="12.75" x14ac:dyDescent="0.2">
      <c r="A795" s="304"/>
      <c r="B795" s="305"/>
      <c r="M795" s="306"/>
      <c r="N795" s="306"/>
      <c r="O795" s="306"/>
      <c r="P795" s="306"/>
      <c r="Q795" s="306"/>
      <c r="R795" s="306"/>
    </row>
    <row r="796" spans="1:18" ht="12.75" x14ac:dyDescent="0.2">
      <c r="A796" s="304"/>
      <c r="B796" s="305"/>
      <c r="M796" s="306"/>
      <c r="N796" s="306"/>
      <c r="O796" s="306"/>
      <c r="P796" s="306"/>
      <c r="Q796" s="306"/>
      <c r="R796" s="306"/>
    </row>
    <row r="797" spans="1:18" ht="12.75" x14ac:dyDescent="0.2">
      <c r="A797" s="304"/>
      <c r="B797" s="305"/>
      <c r="M797" s="306"/>
      <c r="N797" s="306"/>
      <c r="O797" s="306"/>
      <c r="P797" s="306"/>
      <c r="Q797" s="306"/>
      <c r="R797" s="306"/>
    </row>
    <row r="798" spans="1:18" ht="12.75" x14ac:dyDescent="0.2">
      <c r="A798" s="304"/>
      <c r="B798" s="305"/>
      <c r="M798" s="306"/>
      <c r="N798" s="306"/>
      <c r="O798" s="306"/>
      <c r="P798" s="306"/>
      <c r="Q798" s="306"/>
      <c r="R798" s="306"/>
    </row>
    <row r="799" spans="1:18" ht="12.75" x14ac:dyDescent="0.2">
      <c r="A799" s="304"/>
      <c r="B799" s="305"/>
      <c r="M799" s="306"/>
      <c r="N799" s="306"/>
      <c r="O799" s="306"/>
      <c r="P799" s="306"/>
      <c r="Q799" s="306"/>
      <c r="R799" s="306"/>
    </row>
    <row r="800" spans="1:18" ht="12.75" x14ac:dyDescent="0.2">
      <c r="A800" s="304"/>
      <c r="B800" s="305"/>
      <c r="M800" s="306"/>
      <c r="N800" s="306"/>
      <c r="O800" s="306"/>
      <c r="P800" s="306"/>
      <c r="Q800" s="306"/>
      <c r="R800" s="306"/>
    </row>
    <row r="801" spans="1:18" ht="12.75" x14ac:dyDescent="0.2">
      <c r="A801" s="304"/>
      <c r="B801" s="305"/>
      <c r="M801" s="306"/>
      <c r="N801" s="306"/>
      <c r="O801" s="306"/>
      <c r="P801" s="306"/>
      <c r="Q801" s="306"/>
      <c r="R801" s="306"/>
    </row>
    <row r="802" spans="1:18" ht="12.75" x14ac:dyDescent="0.2">
      <c r="A802" s="304"/>
      <c r="B802" s="305"/>
      <c r="M802" s="306"/>
      <c r="N802" s="306"/>
      <c r="O802" s="306"/>
      <c r="P802" s="306"/>
      <c r="Q802" s="306"/>
      <c r="R802" s="306"/>
    </row>
    <row r="803" spans="1:18" ht="12.75" x14ac:dyDescent="0.2">
      <c r="A803" s="304"/>
      <c r="B803" s="305"/>
      <c r="M803" s="306"/>
      <c r="N803" s="306"/>
      <c r="O803" s="306"/>
      <c r="P803" s="306"/>
      <c r="Q803" s="306"/>
      <c r="R803" s="306"/>
    </row>
    <row r="804" spans="1:18" ht="12.75" x14ac:dyDescent="0.2">
      <c r="A804" s="304"/>
      <c r="B804" s="305"/>
      <c r="M804" s="306"/>
      <c r="N804" s="306"/>
      <c r="O804" s="306"/>
      <c r="P804" s="306"/>
      <c r="Q804" s="306"/>
      <c r="R804" s="306"/>
    </row>
    <row r="805" spans="1:18" ht="12.75" x14ac:dyDescent="0.2">
      <c r="A805" s="304"/>
      <c r="B805" s="305"/>
      <c r="M805" s="306"/>
      <c r="N805" s="306"/>
      <c r="O805" s="306"/>
      <c r="P805" s="306"/>
      <c r="Q805" s="306"/>
      <c r="R805" s="306"/>
    </row>
    <row r="806" spans="1:18" ht="12.75" x14ac:dyDescent="0.2">
      <c r="A806" s="304"/>
      <c r="B806" s="305"/>
      <c r="M806" s="306"/>
      <c r="N806" s="306"/>
      <c r="O806" s="306"/>
      <c r="P806" s="306"/>
      <c r="Q806" s="306"/>
      <c r="R806" s="306"/>
    </row>
    <row r="807" spans="1:18" ht="12.75" x14ac:dyDescent="0.2">
      <c r="A807" s="304"/>
      <c r="B807" s="305"/>
      <c r="M807" s="306"/>
      <c r="N807" s="306"/>
      <c r="O807" s="306"/>
      <c r="P807" s="306"/>
      <c r="Q807" s="306"/>
      <c r="R807" s="306"/>
    </row>
    <row r="808" spans="1:18" ht="12.75" x14ac:dyDescent="0.2">
      <c r="A808" s="304"/>
      <c r="B808" s="305"/>
      <c r="M808" s="306"/>
      <c r="N808" s="306"/>
      <c r="O808" s="306"/>
      <c r="P808" s="306"/>
      <c r="Q808" s="306"/>
      <c r="R808" s="306"/>
    </row>
    <row r="809" spans="1:18" ht="12.75" x14ac:dyDescent="0.2">
      <c r="A809" s="304"/>
      <c r="B809" s="305"/>
      <c r="M809" s="306"/>
      <c r="N809" s="306"/>
      <c r="O809" s="306"/>
      <c r="P809" s="306"/>
      <c r="Q809" s="306"/>
      <c r="R809" s="306"/>
    </row>
    <row r="810" spans="1:18" ht="12.75" x14ac:dyDescent="0.2">
      <c r="A810" s="304"/>
      <c r="B810" s="305"/>
      <c r="M810" s="306"/>
      <c r="N810" s="306"/>
      <c r="O810" s="306"/>
      <c r="P810" s="306"/>
      <c r="Q810" s="306"/>
      <c r="R810" s="306"/>
    </row>
    <row r="811" spans="1:18" ht="12.75" x14ac:dyDescent="0.2">
      <c r="A811" s="304"/>
      <c r="B811" s="305"/>
      <c r="M811" s="306"/>
      <c r="N811" s="306"/>
      <c r="O811" s="306"/>
      <c r="P811" s="306"/>
      <c r="Q811" s="306"/>
      <c r="R811" s="306"/>
    </row>
    <row r="812" spans="1:18" ht="12.75" x14ac:dyDescent="0.2">
      <c r="A812" s="304"/>
      <c r="B812" s="305"/>
      <c r="M812" s="306"/>
      <c r="N812" s="306"/>
      <c r="O812" s="306"/>
      <c r="P812" s="306"/>
      <c r="Q812" s="306"/>
      <c r="R812" s="306"/>
    </row>
    <row r="813" spans="1:18" ht="12.75" x14ac:dyDescent="0.2">
      <c r="A813" s="304"/>
      <c r="B813" s="305"/>
      <c r="M813" s="306"/>
      <c r="N813" s="306"/>
      <c r="O813" s="306"/>
      <c r="P813" s="306"/>
      <c r="Q813" s="306"/>
      <c r="R813" s="306"/>
    </row>
    <row r="814" spans="1:18" ht="12.75" x14ac:dyDescent="0.2">
      <c r="A814" s="304"/>
      <c r="B814" s="305"/>
      <c r="M814" s="306"/>
      <c r="N814" s="306"/>
      <c r="O814" s="306"/>
      <c r="P814" s="306"/>
      <c r="Q814" s="306"/>
      <c r="R814" s="306"/>
    </row>
    <row r="815" spans="1:18" ht="12.75" x14ac:dyDescent="0.2">
      <c r="A815" s="304"/>
      <c r="B815" s="305"/>
      <c r="M815" s="306"/>
      <c r="N815" s="306"/>
      <c r="O815" s="306"/>
      <c r="P815" s="306"/>
      <c r="Q815" s="306"/>
      <c r="R815" s="306"/>
    </row>
    <row r="816" spans="1:18" ht="12.75" x14ac:dyDescent="0.2">
      <c r="A816" s="304"/>
      <c r="B816" s="305"/>
      <c r="M816" s="306"/>
      <c r="N816" s="306"/>
      <c r="O816" s="306"/>
      <c r="P816" s="306"/>
      <c r="Q816" s="306"/>
      <c r="R816" s="306"/>
    </row>
    <row r="817" spans="1:18" ht="12.75" x14ac:dyDescent="0.2">
      <c r="A817" s="304"/>
      <c r="B817" s="305"/>
      <c r="M817" s="306"/>
      <c r="N817" s="306"/>
      <c r="O817" s="306"/>
      <c r="P817" s="306"/>
      <c r="Q817" s="306"/>
      <c r="R817" s="306"/>
    </row>
    <row r="818" spans="1:18" ht="12.75" x14ac:dyDescent="0.2">
      <c r="A818" s="304"/>
      <c r="B818" s="305"/>
      <c r="M818" s="306"/>
      <c r="N818" s="306"/>
      <c r="O818" s="306"/>
      <c r="P818" s="306"/>
      <c r="Q818" s="306"/>
      <c r="R818" s="306"/>
    </row>
    <row r="819" spans="1:18" ht="12.75" x14ac:dyDescent="0.2">
      <c r="A819" s="304"/>
      <c r="B819" s="305"/>
      <c r="M819" s="306"/>
      <c r="N819" s="306"/>
      <c r="O819" s="306"/>
      <c r="P819" s="306"/>
      <c r="Q819" s="306"/>
      <c r="R819" s="306"/>
    </row>
    <row r="820" spans="1:18" ht="12.75" x14ac:dyDescent="0.2">
      <c r="A820" s="304"/>
      <c r="B820" s="305"/>
      <c r="M820" s="306"/>
      <c r="N820" s="306"/>
      <c r="O820" s="306"/>
      <c r="P820" s="306"/>
      <c r="Q820" s="306"/>
      <c r="R820" s="306"/>
    </row>
    <row r="821" spans="1:18" ht="12.75" x14ac:dyDescent="0.2">
      <c r="A821" s="304"/>
      <c r="B821" s="305"/>
      <c r="M821" s="306"/>
      <c r="N821" s="306"/>
      <c r="O821" s="306"/>
      <c r="P821" s="306"/>
      <c r="Q821" s="306"/>
      <c r="R821" s="306"/>
    </row>
    <row r="822" spans="1:18" ht="12.75" x14ac:dyDescent="0.2">
      <c r="A822" s="304"/>
      <c r="B822" s="305"/>
      <c r="M822" s="306"/>
      <c r="N822" s="306"/>
      <c r="O822" s="306"/>
      <c r="P822" s="306"/>
      <c r="Q822" s="306"/>
      <c r="R822" s="306"/>
    </row>
    <row r="823" spans="1:18" ht="12.75" x14ac:dyDescent="0.2">
      <c r="A823" s="304"/>
      <c r="B823" s="305"/>
      <c r="M823" s="306"/>
      <c r="N823" s="306"/>
      <c r="O823" s="306"/>
      <c r="P823" s="306"/>
      <c r="Q823" s="306"/>
      <c r="R823" s="306"/>
    </row>
    <row r="824" spans="1:18" ht="12.75" x14ac:dyDescent="0.2">
      <c r="A824" s="304"/>
      <c r="B824" s="305"/>
      <c r="M824" s="306"/>
      <c r="N824" s="306"/>
      <c r="O824" s="306"/>
      <c r="P824" s="306"/>
      <c r="Q824" s="306"/>
      <c r="R824" s="306"/>
    </row>
    <row r="825" spans="1:18" ht="12.75" x14ac:dyDescent="0.2">
      <c r="A825" s="304"/>
      <c r="B825" s="305"/>
      <c r="M825" s="306"/>
      <c r="N825" s="306"/>
      <c r="O825" s="306"/>
      <c r="P825" s="306"/>
      <c r="Q825" s="306"/>
      <c r="R825" s="306"/>
    </row>
    <row r="826" spans="1:18" ht="12.75" x14ac:dyDescent="0.2">
      <c r="A826" s="304"/>
      <c r="B826" s="305"/>
      <c r="M826" s="306"/>
      <c r="N826" s="306"/>
      <c r="O826" s="306"/>
      <c r="P826" s="306"/>
      <c r="Q826" s="306"/>
      <c r="R826" s="306"/>
    </row>
    <row r="827" spans="1:18" ht="12.75" x14ac:dyDescent="0.2">
      <c r="A827" s="304"/>
      <c r="B827" s="305"/>
      <c r="M827" s="306"/>
      <c r="N827" s="306"/>
      <c r="O827" s="306"/>
      <c r="P827" s="306"/>
      <c r="Q827" s="306"/>
      <c r="R827" s="306"/>
    </row>
    <row r="828" spans="1:18" ht="12.75" x14ac:dyDescent="0.2">
      <c r="A828" s="304"/>
      <c r="B828" s="305"/>
      <c r="M828" s="306"/>
      <c r="N828" s="306"/>
      <c r="O828" s="306"/>
      <c r="P828" s="306"/>
      <c r="Q828" s="306"/>
      <c r="R828" s="306"/>
    </row>
    <row r="829" spans="1:18" ht="12.75" x14ac:dyDescent="0.2">
      <c r="A829" s="304"/>
      <c r="B829" s="305"/>
      <c r="M829" s="306"/>
      <c r="N829" s="306"/>
      <c r="O829" s="306"/>
      <c r="P829" s="306"/>
      <c r="Q829" s="306"/>
      <c r="R829" s="306"/>
    </row>
    <row r="830" spans="1:18" ht="12.75" x14ac:dyDescent="0.2">
      <c r="A830" s="304"/>
      <c r="B830" s="305"/>
      <c r="M830" s="306"/>
      <c r="N830" s="306"/>
      <c r="O830" s="306"/>
      <c r="P830" s="306"/>
      <c r="Q830" s="306"/>
      <c r="R830" s="306"/>
    </row>
    <row r="831" spans="1:18" ht="12.75" x14ac:dyDescent="0.2">
      <c r="A831" s="304"/>
      <c r="B831" s="305"/>
      <c r="M831" s="306"/>
      <c r="N831" s="306"/>
      <c r="O831" s="306"/>
      <c r="P831" s="306"/>
      <c r="Q831" s="306"/>
      <c r="R831" s="306"/>
    </row>
    <row r="832" spans="1:18" ht="12.75" x14ac:dyDescent="0.2">
      <c r="A832" s="304"/>
      <c r="B832" s="305"/>
      <c r="M832" s="306"/>
      <c r="N832" s="306"/>
      <c r="O832" s="306"/>
      <c r="P832" s="306"/>
      <c r="Q832" s="306"/>
      <c r="R832" s="306"/>
    </row>
    <row r="833" spans="1:18" ht="12.75" x14ac:dyDescent="0.2">
      <c r="A833" s="304"/>
      <c r="B833" s="305"/>
      <c r="M833" s="306"/>
      <c r="N833" s="306"/>
      <c r="O833" s="306"/>
      <c r="P833" s="306"/>
      <c r="Q833" s="306"/>
      <c r="R833" s="306"/>
    </row>
    <row r="834" spans="1:18" ht="12.75" x14ac:dyDescent="0.2">
      <c r="A834" s="304"/>
      <c r="B834" s="305"/>
      <c r="M834" s="306"/>
      <c r="N834" s="306"/>
      <c r="O834" s="306"/>
      <c r="P834" s="306"/>
      <c r="Q834" s="306"/>
      <c r="R834" s="306"/>
    </row>
    <row r="835" spans="1:18" ht="12.75" x14ac:dyDescent="0.2">
      <c r="A835" s="304"/>
      <c r="B835" s="305"/>
      <c r="M835" s="306"/>
      <c r="N835" s="306"/>
      <c r="O835" s="306"/>
      <c r="P835" s="306"/>
      <c r="Q835" s="306"/>
      <c r="R835" s="306"/>
    </row>
    <row r="836" spans="1:18" ht="12.75" x14ac:dyDescent="0.2">
      <c r="A836" s="304"/>
      <c r="B836" s="305"/>
      <c r="M836" s="306"/>
      <c r="N836" s="306"/>
      <c r="O836" s="306"/>
      <c r="P836" s="306"/>
      <c r="Q836" s="306"/>
      <c r="R836" s="306"/>
    </row>
    <row r="837" spans="1:18" ht="12.75" x14ac:dyDescent="0.2">
      <c r="A837" s="304"/>
      <c r="B837" s="305"/>
      <c r="M837" s="306"/>
      <c r="N837" s="306"/>
      <c r="O837" s="306"/>
      <c r="P837" s="306"/>
      <c r="Q837" s="306"/>
      <c r="R837" s="306"/>
    </row>
    <row r="838" spans="1:18" ht="12.75" x14ac:dyDescent="0.2">
      <c r="A838" s="304"/>
      <c r="B838" s="305"/>
      <c r="M838" s="306"/>
      <c r="N838" s="306"/>
      <c r="O838" s="306"/>
      <c r="P838" s="306"/>
      <c r="Q838" s="306"/>
      <c r="R838" s="306"/>
    </row>
    <row r="839" spans="1:18" ht="12.75" x14ac:dyDescent="0.2">
      <c r="A839" s="304"/>
      <c r="B839" s="305"/>
      <c r="M839" s="306"/>
      <c r="N839" s="306"/>
      <c r="O839" s="306"/>
      <c r="P839" s="306"/>
      <c r="Q839" s="306"/>
      <c r="R839" s="306"/>
    </row>
    <row r="840" spans="1:18" ht="12.75" x14ac:dyDescent="0.2">
      <c r="A840" s="304"/>
      <c r="B840" s="305"/>
      <c r="M840" s="306"/>
      <c r="N840" s="306"/>
      <c r="O840" s="306"/>
      <c r="P840" s="306"/>
      <c r="Q840" s="306"/>
      <c r="R840" s="306"/>
    </row>
    <row r="841" spans="1:18" ht="12.75" x14ac:dyDescent="0.2">
      <c r="A841" s="304"/>
      <c r="B841" s="305"/>
      <c r="M841" s="306"/>
      <c r="N841" s="306"/>
      <c r="O841" s="306"/>
      <c r="P841" s="306"/>
      <c r="Q841" s="306"/>
      <c r="R841" s="306"/>
    </row>
    <row r="842" spans="1:18" ht="12.75" x14ac:dyDescent="0.2">
      <c r="A842" s="304"/>
      <c r="B842" s="305"/>
      <c r="M842" s="306"/>
      <c r="N842" s="306"/>
      <c r="O842" s="306"/>
      <c r="P842" s="306"/>
      <c r="Q842" s="306"/>
      <c r="R842" s="306"/>
    </row>
    <row r="843" spans="1:18" ht="12.75" x14ac:dyDescent="0.2">
      <c r="A843" s="304"/>
      <c r="B843" s="305"/>
      <c r="M843" s="306"/>
      <c r="N843" s="306"/>
      <c r="O843" s="306"/>
      <c r="P843" s="306"/>
      <c r="Q843" s="306"/>
      <c r="R843" s="306"/>
    </row>
    <row r="844" spans="1:18" ht="12.75" x14ac:dyDescent="0.2">
      <c r="A844" s="304"/>
      <c r="B844" s="305"/>
      <c r="M844" s="306"/>
      <c r="N844" s="306"/>
      <c r="O844" s="306"/>
      <c r="P844" s="306"/>
      <c r="Q844" s="306"/>
      <c r="R844" s="306"/>
    </row>
    <row r="845" spans="1:18" ht="12.75" x14ac:dyDescent="0.2">
      <c r="A845" s="304"/>
      <c r="B845" s="305"/>
      <c r="M845" s="306"/>
      <c r="N845" s="306"/>
      <c r="O845" s="306"/>
      <c r="P845" s="306"/>
      <c r="Q845" s="306"/>
      <c r="R845" s="306"/>
    </row>
    <row r="846" spans="1:18" ht="12.75" x14ac:dyDescent="0.2">
      <c r="A846" s="304"/>
      <c r="B846" s="305"/>
      <c r="M846" s="306"/>
      <c r="N846" s="306"/>
      <c r="O846" s="306"/>
      <c r="P846" s="306"/>
      <c r="Q846" s="306"/>
      <c r="R846" s="306"/>
    </row>
    <row r="847" spans="1:18" ht="12.75" x14ac:dyDescent="0.2">
      <c r="A847" s="304"/>
      <c r="B847" s="305"/>
      <c r="M847" s="306"/>
      <c r="N847" s="306"/>
      <c r="O847" s="306"/>
      <c r="P847" s="306"/>
      <c r="Q847" s="306"/>
      <c r="R847" s="306"/>
    </row>
    <row r="848" spans="1:18" ht="12.75" x14ac:dyDescent="0.2">
      <c r="A848" s="304"/>
      <c r="B848" s="305"/>
      <c r="M848" s="306"/>
      <c r="N848" s="306"/>
      <c r="O848" s="306"/>
      <c r="P848" s="306"/>
      <c r="Q848" s="306"/>
      <c r="R848" s="306"/>
    </row>
    <row r="849" spans="1:18" ht="12.75" x14ac:dyDescent="0.2">
      <c r="A849" s="304"/>
      <c r="B849" s="305"/>
      <c r="M849" s="306"/>
      <c r="N849" s="306"/>
      <c r="O849" s="306"/>
      <c r="P849" s="306"/>
      <c r="Q849" s="306"/>
      <c r="R849" s="306"/>
    </row>
    <row r="850" spans="1:18" ht="12.75" x14ac:dyDescent="0.2">
      <c r="A850" s="304"/>
      <c r="B850" s="305"/>
      <c r="M850" s="306"/>
      <c r="N850" s="306"/>
      <c r="O850" s="306"/>
      <c r="P850" s="306"/>
      <c r="Q850" s="306"/>
      <c r="R850" s="306"/>
    </row>
    <row r="851" spans="1:18" ht="12.75" x14ac:dyDescent="0.2">
      <c r="A851" s="304"/>
      <c r="B851" s="305"/>
      <c r="M851" s="306"/>
      <c r="N851" s="306"/>
      <c r="O851" s="306"/>
      <c r="P851" s="306"/>
      <c r="Q851" s="306"/>
      <c r="R851" s="306"/>
    </row>
    <row r="852" spans="1:18" ht="12.75" x14ac:dyDescent="0.2">
      <c r="A852" s="304"/>
      <c r="B852" s="305"/>
      <c r="M852" s="306"/>
      <c r="N852" s="306"/>
      <c r="O852" s="306"/>
      <c r="P852" s="306"/>
      <c r="Q852" s="306"/>
      <c r="R852" s="306"/>
    </row>
    <row r="853" spans="1:18" ht="12.75" x14ac:dyDescent="0.2">
      <c r="A853" s="304"/>
      <c r="B853" s="305"/>
      <c r="M853" s="306"/>
      <c r="N853" s="306"/>
      <c r="O853" s="306"/>
      <c r="P853" s="306"/>
      <c r="Q853" s="306"/>
      <c r="R853" s="306"/>
    </row>
    <row r="854" spans="1:18" ht="12.75" x14ac:dyDescent="0.2">
      <c r="A854" s="304"/>
      <c r="B854" s="305"/>
      <c r="M854" s="306"/>
      <c r="N854" s="306"/>
      <c r="O854" s="306"/>
      <c r="P854" s="306"/>
      <c r="Q854" s="306"/>
      <c r="R854" s="306"/>
    </row>
    <row r="855" spans="1:18" ht="12.75" x14ac:dyDescent="0.2">
      <c r="A855" s="304"/>
      <c r="B855" s="305"/>
      <c r="M855" s="306"/>
      <c r="N855" s="306"/>
      <c r="O855" s="306"/>
      <c r="P855" s="306"/>
      <c r="Q855" s="306"/>
      <c r="R855" s="306"/>
    </row>
    <row r="856" spans="1:18" ht="12.75" x14ac:dyDescent="0.2">
      <c r="A856" s="304"/>
      <c r="B856" s="305"/>
      <c r="M856" s="306"/>
      <c r="N856" s="306"/>
      <c r="O856" s="306"/>
      <c r="P856" s="306"/>
      <c r="Q856" s="306"/>
      <c r="R856" s="306"/>
    </row>
    <row r="857" spans="1:18" ht="12.75" x14ac:dyDescent="0.2">
      <c r="A857" s="304"/>
      <c r="B857" s="305"/>
      <c r="M857" s="306"/>
      <c r="N857" s="306"/>
      <c r="O857" s="306"/>
      <c r="P857" s="306"/>
      <c r="Q857" s="306"/>
      <c r="R857" s="306"/>
    </row>
    <row r="858" spans="1:18" ht="12.75" x14ac:dyDescent="0.2">
      <c r="A858" s="304"/>
      <c r="B858" s="305"/>
      <c r="M858" s="306"/>
      <c r="N858" s="306"/>
      <c r="O858" s="306"/>
      <c r="P858" s="306"/>
      <c r="Q858" s="306"/>
      <c r="R858" s="306"/>
    </row>
    <row r="859" spans="1:18" ht="12.75" x14ac:dyDescent="0.2">
      <c r="A859" s="304"/>
      <c r="B859" s="305"/>
      <c r="M859" s="306"/>
      <c r="N859" s="306"/>
      <c r="O859" s="306"/>
      <c r="P859" s="306"/>
      <c r="Q859" s="306"/>
      <c r="R859" s="306"/>
    </row>
    <row r="860" spans="1:18" ht="12.75" x14ac:dyDescent="0.2">
      <c r="A860" s="304"/>
      <c r="B860" s="305"/>
      <c r="M860" s="306"/>
      <c r="N860" s="306"/>
      <c r="O860" s="306"/>
      <c r="P860" s="306"/>
      <c r="Q860" s="306"/>
      <c r="R860" s="306"/>
    </row>
    <row r="861" spans="1:18" ht="12.75" x14ac:dyDescent="0.2">
      <c r="A861" s="304"/>
      <c r="B861" s="305"/>
      <c r="M861" s="306"/>
      <c r="N861" s="306"/>
      <c r="O861" s="306"/>
      <c r="P861" s="306"/>
      <c r="Q861" s="306"/>
      <c r="R861" s="306"/>
    </row>
    <row r="862" spans="1:18" ht="12.75" x14ac:dyDescent="0.2">
      <c r="A862" s="304"/>
      <c r="B862" s="305"/>
      <c r="M862" s="306"/>
      <c r="N862" s="306"/>
      <c r="O862" s="306"/>
      <c r="P862" s="306"/>
      <c r="Q862" s="306"/>
      <c r="R862" s="306"/>
    </row>
    <row r="863" spans="1:18" ht="12.75" x14ac:dyDescent="0.2">
      <c r="A863" s="304"/>
      <c r="B863" s="305"/>
      <c r="M863" s="306"/>
      <c r="N863" s="306"/>
      <c r="O863" s="306"/>
      <c r="P863" s="306"/>
      <c r="Q863" s="306"/>
      <c r="R863" s="306"/>
    </row>
    <row r="864" spans="1:18" ht="12.75" x14ac:dyDescent="0.2">
      <c r="A864" s="304"/>
      <c r="B864" s="305"/>
      <c r="M864" s="306"/>
      <c r="N864" s="306"/>
      <c r="O864" s="306"/>
      <c r="P864" s="306"/>
      <c r="Q864" s="306"/>
      <c r="R864" s="306"/>
    </row>
    <row r="865" spans="1:18" ht="12.75" x14ac:dyDescent="0.2">
      <c r="A865" s="304"/>
      <c r="B865" s="305"/>
      <c r="M865" s="306"/>
      <c r="N865" s="306"/>
      <c r="O865" s="306"/>
      <c r="P865" s="306"/>
      <c r="Q865" s="306"/>
      <c r="R865" s="306"/>
    </row>
    <row r="866" spans="1:18" ht="12.75" x14ac:dyDescent="0.2">
      <c r="A866" s="304"/>
      <c r="B866" s="305"/>
      <c r="M866" s="306"/>
      <c r="N866" s="306"/>
      <c r="O866" s="306"/>
      <c r="P866" s="306"/>
      <c r="Q866" s="306"/>
      <c r="R866" s="306"/>
    </row>
    <row r="867" spans="1:18" ht="12.75" x14ac:dyDescent="0.2">
      <c r="A867" s="304"/>
      <c r="B867" s="305"/>
      <c r="M867" s="306"/>
      <c r="N867" s="306"/>
      <c r="O867" s="306"/>
      <c r="P867" s="306"/>
      <c r="Q867" s="306"/>
      <c r="R867" s="306"/>
    </row>
    <row r="868" spans="1:18" ht="12.75" x14ac:dyDescent="0.2">
      <c r="A868" s="304"/>
      <c r="B868" s="305"/>
      <c r="M868" s="306"/>
      <c r="N868" s="306"/>
      <c r="O868" s="306"/>
      <c r="P868" s="306"/>
      <c r="Q868" s="306"/>
      <c r="R868" s="306"/>
    </row>
    <row r="869" spans="1:18" ht="12.75" x14ac:dyDescent="0.2">
      <c r="A869" s="304"/>
      <c r="B869" s="305"/>
      <c r="M869" s="306"/>
      <c r="N869" s="306"/>
      <c r="O869" s="306"/>
      <c r="P869" s="306"/>
      <c r="Q869" s="306"/>
      <c r="R869" s="306"/>
    </row>
    <row r="870" spans="1:18" ht="12.75" x14ac:dyDescent="0.2">
      <c r="A870" s="304"/>
      <c r="B870" s="305"/>
      <c r="M870" s="306"/>
      <c r="N870" s="306"/>
      <c r="O870" s="306"/>
      <c r="P870" s="306"/>
      <c r="Q870" s="306"/>
      <c r="R870" s="306"/>
    </row>
    <row r="871" spans="1:18" ht="12.75" x14ac:dyDescent="0.2">
      <c r="A871" s="304"/>
      <c r="B871" s="305"/>
      <c r="M871" s="306"/>
      <c r="N871" s="306"/>
      <c r="O871" s="306"/>
      <c r="P871" s="306"/>
      <c r="Q871" s="306"/>
      <c r="R871" s="306"/>
    </row>
    <row r="872" spans="1:18" ht="12.75" x14ac:dyDescent="0.2">
      <c r="A872" s="304"/>
      <c r="B872" s="305"/>
      <c r="M872" s="306"/>
      <c r="N872" s="306"/>
      <c r="O872" s="306"/>
      <c r="P872" s="306"/>
      <c r="Q872" s="306"/>
      <c r="R872" s="306"/>
    </row>
    <row r="873" spans="1:18" ht="12.75" x14ac:dyDescent="0.2">
      <c r="A873" s="304"/>
      <c r="B873" s="305"/>
      <c r="M873" s="306"/>
      <c r="N873" s="306"/>
      <c r="O873" s="306"/>
      <c r="P873" s="306"/>
      <c r="Q873" s="306"/>
      <c r="R873" s="306"/>
    </row>
    <row r="874" spans="1:18" ht="12.75" x14ac:dyDescent="0.2">
      <c r="A874" s="304"/>
      <c r="B874" s="305"/>
      <c r="M874" s="306"/>
      <c r="N874" s="306"/>
      <c r="O874" s="306"/>
      <c r="P874" s="306"/>
      <c r="Q874" s="306"/>
      <c r="R874" s="306"/>
    </row>
    <row r="875" spans="1:18" ht="12.75" x14ac:dyDescent="0.2">
      <c r="A875" s="304"/>
      <c r="B875" s="305"/>
      <c r="M875" s="306"/>
      <c r="N875" s="306"/>
      <c r="O875" s="306"/>
      <c r="P875" s="306"/>
      <c r="Q875" s="306"/>
      <c r="R875" s="306"/>
    </row>
    <row r="876" spans="1:18" ht="12.75" x14ac:dyDescent="0.2">
      <c r="A876" s="304"/>
      <c r="B876" s="305"/>
      <c r="M876" s="306"/>
      <c r="N876" s="306"/>
      <c r="O876" s="306"/>
      <c r="P876" s="306"/>
      <c r="Q876" s="306"/>
      <c r="R876" s="306"/>
    </row>
    <row r="877" spans="1:18" ht="12.75" x14ac:dyDescent="0.2">
      <c r="A877" s="304"/>
      <c r="B877" s="305"/>
      <c r="M877" s="306"/>
      <c r="N877" s="306"/>
      <c r="O877" s="306"/>
      <c r="P877" s="306"/>
      <c r="Q877" s="306"/>
      <c r="R877" s="306"/>
    </row>
    <row r="878" spans="1:18" ht="12.75" x14ac:dyDescent="0.2">
      <c r="A878" s="304"/>
      <c r="B878" s="305"/>
      <c r="M878" s="306"/>
      <c r="N878" s="306"/>
      <c r="O878" s="306"/>
      <c r="P878" s="306"/>
      <c r="Q878" s="306"/>
      <c r="R878" s="306"/>
    </row>
    <row r="879" spans="1:18" ht="12.75" x14ac:dyDescent="0.2">
      <c r="A879" s="304"/>
      <c r="B879" s="305"/>
      <c r="M879" s="306"/>
      <c r="N879" s="306"/>
      <c r="O879" s="306"/>
      <c r="P879" s="306"/>
      <c r="Q879" s="306"/>
      <c r="R879" s="306"/>
    </row>
    <row r="880" spans="1:18" ht="12.75" x14ac:dyDescent="0.2">
      <c r="A880" s="304"/>
      <c r="B880" s="305"/>
      <c r="M880" s="306"/>
      <c r="N880" s="306"/>
      <c r="O880" s="306"/>
      <c r="P880" s="306"/>
      <c r="Q880" s="306"/>
      <c r="R880" s="306"/>
    </row>
    <row r="881" spans="1:18" ht="12.75" x14ac:dyDescent="0.2">
      <c r="A881" s="304"/>
      <c r="B881" s="305"/>
      <c r="M881" s="306"/>
      <c r="N881" s="306"/>
      <c r="O881" s="306"/>
      <c r="P881" s="306"/>
      <c r="Q881" s="306"/>
      <c r="R881" s="306"/>
    </row>
    <row r="882" spans="1:18" ht="12.75" x14ac:dyDescent="0.2">
      <c r="A882" s="304"/>
      <c r="B882" s="305"/>
      <c r="M882" s="306"/>
      <c r="N882" s="306"/>
      <c r="O882" s="306"/>
      <c r="P882" s="306"/>
      <c r="Q882" s="306"/>
      <c r="R882" s="306"/>
    </row>
    <row r="883" spans="1:18" ht="12.75" x14ac:dyDescent="0.2">
      <c r="A883" s="304"/>
      <c r="B883" s="305"/>
      <c r="M883" s="306"/>
      <c r="N883" s="306"/>
      <c r="O883" s="306"/>
      <c r="P883" s="306"/>
      <c r="Q883" s="306"/>
      <c r="R883" s="306"/>
    </row>
    <row r="884" spans="1:18" ht="12.75" x14ac:dyDescent="0.2">
      <c r="A884" s="304"/>
      <c r="B884" s="305"/>
      <c r="M884" s="306"/>
      <c r="N884" s="306"/>
      <c r="O884" s="306"/>
      <c r="P884" s="306"/>
      <c r="Q884" s="306"/>
      <c r="R884" s="306"/>
    </row>
    <row r="885" spans="1:18" ht="12.75" x14ac:dyDescent="0.2">
      <c r="A885" s="304"/>
      <c r="B885" s="305"/>
      <c r="M885" s="306"/>
      <c r="N885" s="306"/>
      <c r="O885" s="306"/>
      <c r="P885" s="306"/>
      <c r="Q885" s="306"/>
      <c r="R885" s="306"/>
    </row>
    <row r="886" spans="1:18" ht="12.75" x14ac:dyDescent="0.2">
      <c r="A886" s="304"/>
      <c r="B886" s="305"/>
      <c r="M886" s="306"/>
      <c r="N886" s="306"/>
      <c r="O886" s="306"/>
      <c r="P886" s="306"/>
      <c r="Q886" s="306"/>
      <c r="R886" s="306"/>
    </row>
    <row r="887" spans="1:18" ht="12.75" x14ac:dyDescent="0.2">
      <c r="A887" s="304"/>
      <c r="B887" s="305"/>
      <c r="M887" s="306"/>
      <c r="N887" s="306"/>
      <c r="O887" s="306"/>
      <c r="P887" s="306"/>
      <c r="Q887" s="306"/>
      <c r="R887" s="306"/>
    </row>
    <row r="888" spans="1:18" ht="12.75" x14ac:dyDescent="0.2">
      <c r="A888" s="304"/>
      <c r="B888" s="305"/>
      <c r="M888" s="306"/>
      <c r="N888" s="306"/>
      <c r="O888" s="306"/>
      <c r="P888" s="306"/>
      <c r="Q888" s="306"/>
      <c r="R888" s="306"/>
    </row>
    <row r="889" spans="1:18" ht="12.75" x14ac:dyDescent="0.2">
      <c r="A889" s="304"/>
      <c r="B889" s="305"/>
      <c r="M889" s="306"/>
      <c r="N889" s="306"/>
      <c r="O889" s="306"/>
      <c r="P889" s="306"/>
      <c r="Q889" s="306"/>
      <c r="R889" s="306"/>
    </row>
    <row r="890" spans="1:18" ht="12.75" x14ac:dyDescent="0.2">
      <c r="A890" s="304"/>
      <c r="B890" s="305"/>
      <c r="M890" s="306"/>
      <c r="N890" s="306"/>
      <c r="O890" s="306"/>
      <c r="P890" s="306"/>
      <c r="Q890" s="306"/>
      <c r="R890" s="306"/>
    </row>
    <row r="891" spans="1:18" ht="12.75" x14ac:dyDescent="0.2">
      <c r="A891" s="304"/>
      <c r="B891" s="305"/>
      <c r="M891" s="306"/>
      <c r="N891" s="306"/>
      <c r="O891" s="306"/>
      <c r="P891" s="306"/>
      <c r="Q891" s="306"/>
      <c r="R891" s="306"/>
    </row>
    <row r="892" spans="1:18" ht="12.75" x14ac:dyDescent="0.2">
      <c r="A892" s="304"/>
      <c r="B892" s="305"/>
      <c r="M892" s="306"/>
      <c r="N892" s="306"/>
      <c r="O892" s="306"/>
      <c r="P892" s="306"/>
      <c r="Q892" s="306"/>
      <c r="R892" s="306"/>
    </row>
    <row r="893" spans="1:18" ht="12.75" x14ac:dyDescent="0.2">
      <c r="A893" s="304"/>
      <c r="B893" s="305"/>
      <c r="M893" s="306"/>
      <c r="N893" s="306"/>
      <c r="O893" s="306"/>
      <c r="P893" s="306"/>
      <c r="Q893" s="306"/>
      <c r="R893" s="306"/>
    </row>
    <row r="894" spans="1:18" ht="12.75" x14ac:dyDescent="0.2">
      <c r="A894" s="304"/>
      <c r="B894" s="305"/>
      <c r="M894" s="306"/>
      <c r="N894" s="306"/>
      <c r="O894" s="306"/>
      <c r="P894" s="306"/>
      <c r="Q894" s="306"/>
      <c r="R894" s="306"/>
    </row>
    <row r="895" spans="1:18" ht="12.75" x14ac:dyDescent="0.2">
      <c r="A895" s="304"/>
      <c r="B895" s="305"/>
      <c r="M895" s="306"/>
      <c r="N895" s="306"/>
      <c r="O895" s="306"/>
      <c r="P895" s="306"/>
      <c r="Q895" s="306"/>
      <c r="R895" s="306"/>
    </row>
    <row r="896" spans="1:18" ht="12.75" x14ac:dyDescent="0.2">
      <c r="A896" s="304"/>
      <c r="B896" s="305"/>
      <c r="M896" s="306"/>
      <c r="N896" s="306"/>
      <c r="O896" s="306"/>
      <c r="P896" s="306"/>
      <c r="Q896" s="306"/>
      <c r="R896" s="306"/>
    </row>
    <row r="897" spans="1:18" ht="12.75" x14ac:dyDescent="0.2">
      <c r="A897" s="304"/>
      <c r="B897" s="305"/>
      <c r="M897" s="306"/>
      <c r="N897" s="306"/>
      <c r="O897" s="306"/>
      <c r="P897" s="306"/>
      <c r="Q897" s="306"/>
      <c r="R897" s="306"/>
    </row>
    <row r="898" spans="1:18" ht="12.75" x14ac:dyDescent="0.2">
      <c r="A898" s="304"/>
      <c r="B898" s="305"/>
      <c r="M898" s="306"/>
      <c r="N898" s="306"/>
      <c r="O898" s="306"/>
      <c r="P898" s="306"/>
      <c r="Q898" s="306"/>
      <c r="R898" s="306"/>
    </row>
    <row r="899" spans="1:18" ht="12.75" x14ac:dyDescent="0.2">
      <c r="A899" s="304"/>
      <c r="B899" s="305"/>
      <c r="M899" s="306"/>
      <c r="N899" s="306"/>
      <c r="O899" s="306"/>
      <c r="P899" s="306"/>
      <c r="Q899" s="306"/>
      <c r="R899" s="306"/>
    </row>
    <row r="900" spans="1:18" ht="12.75" x14ac:dyDescent="0.2">
      <c r="A900" s="304"/>
      <c r="B900" s="305"/>
      <c r="M900" s="306"/>
      <c r="N900" s="306"/>
      <c r="O900" s="306"/>
      <c r="P900" s="306"/>
      <c r="Q900" s="306"/>
      <c r="R900" s="306"/>
    </row>
    <row r="901" spans="1:18" ht="12.75" x14ac:dyDescent="0.2">
      <c r="A901" s="304"/>
      <c r="B901" s="305"/>
      <c r="M901" s="306"/>
      <c r="N901" s="306"/>
      <c r="O901" s="306"/>
      <c r="P901" s="306"/>
      <c r="Q901" s="306"/>
      <c r="R901" s="306"/>
    </row>
    <row r="902" spans="1:18" ht="12.75" x14ac:dyDescent="0.2">
      <c r="A902" s="304"/>
      <c r="B902" s="305"/>
      <c r="M902" s="306"/>
      <c r="N902" s="306"/>
      <c r="O902" s="306"/>
      <c r="P902" s="306"/>
      <c r="Q902" s="306"/>
      <c r="R902" s="306"/>
    </row>
    <row r="903" spans="1:18" ht="12.75" x14ac:dyDescent="0.2">
      <c r="A903" s="304"/>
      <c r="B903" s="305"/>
      <c r="M903" s="306"/>
      <c r="N903" s="306"/>
      <c r="O903" s="306"/>
      <c r="P903" s="306"/>
      <c r="Q903" s="306"/>
      <c r="R903" s="306"/>
    </row>
    <row r="904" spans="1:18" ht="12.75" x14ac:dyDescent="0.2">
      <c r="A904" s="304"/>
      <c r="B904" s="305"/>
      <c r="M904" s="306"/>
      <c r="N904" s="306"/>
      <c r="O904" s="306"/>
      <c r="P904" s="306"/>
      <c r="Q904" s="306"/>
      <c r="R904" s="306"/>
    </row>
    <row r="905" spans="1:18" ht="12.75" x14ac:dyDescent="0.2">
      <c r="A905" s="304"/>
      <c r="B905" s="305"/>
      <c r="M905" s="306"/>
      <c r="N905" s="306"/>
      <c r="O905" s="306"/>
      <c r="P905" s="306"/>
      <c r="Q905" s="306"/>
      <c r="R905" s="306"/>
    </row>
    <row r="906" spans="1:18" ht="12.75" x14ac:dyDescent="0.2">
      <c r="A906" s="304"/>
      <c r="B906" s="305"/>
      <c r="M906" s="306"/>
      <c r="N906" s="306"/>
      <c r="O906" s="306"/>
      <c r="P906" s="306"/>
      <c r="Q906" s="306"/>
      <c r="R906" s="306"/>
    </row>
    <row r="907" spans="1:18" ht="12.75" x14ac:dyDescent="0.2">
      <c r="A907" s="304"/>
      <c r="B907" s="305"/>
      <c r="M907" s="306"/>
      <c r="N907" s="306"/>
      <c r="O907" s="306"/>
      <c r="P907" s="306"/>
      <c r="Q907" s="306"/>
      <c r="R907" s="306"/>
    </row>
    <row r="908" spans="1:18" ht="12.75" x14ac:dyDescent="0.2">
      <c r="A908" s="304"/>
      <c r="B908" s="305"/>
      <c r="M908" s="306"/>
      <c r="N908" s="306"/>
      <c r="O908" s="306"/>
      <c r="P908" s="306"/>
      <c r="Q908" s="306"/>
      <c r="R908" s="306"/>
    </row>
    <row r="909" spans="1:18" ht="12.75" x14ac:dyDescent="0.2">
      <c r="A909" s="304"/>
      <c r="B909" s="305"/>
      <c r="M909" s="306"/>
      <c r="N909" s="306"/>
      <c r="O909" s="306"/>
      <c r="P909" s="306"/>
      <c r="Q909" s="306"/>
      <c r="R909" s="306"/>
    </row>
    <row r="910" spans="1:18" ht="12.75" x14ac:dyDescent="0.2">
      <c r="A910" s="304"/>
      <c r="B910" s="305"/>
      <c r="M910" s="306"/>
      <c r="N910" s="306"/>
      <c r="O910" s="306"/>
      <c r="P910" s="306"/>
      <c r="Q910" s="306"/>
      <c r="R910" s="306"/>
    </row>
    <row r="911" spans="1:18" ht="12.75" x14ac:dyDescent="0.2">
      <c r="A911" s="304"/>
      <c r="B911" s="305"/>
      <c r="M911" s="306"/>
      <c r="N911" s="306"/>
      <c r="O911" s="306"/>
      <c r="P911" s="306"/>
      <c r="Q911" s="306"/>
      <c r="R911" s="306"/>
    </row>
    <row r="912" spans="1:18" ht="12.75" x14ac:dyDescent="0.2">
      <c r="A912" s="304"/>
      <c r="B912" s="305"/>
      <c r="M912" s="306"/>
      <c r="N912" s="306"/>
      <c r="O912" s="306"/>
      <c r="P912" s="306"/>
      <c r="Q912" s="306"/>
      <c r="R912" s="306"/>
    </row>
    <row r="913" spans="1:18" ht="12.75" x14ac:dyDescent="0.2">
      <c r="A913" s="304"/>
      <c r="B913" s="305"/>
      <c r="M913" s="306"/>
      <c r="N913" s="306"/>
      <c r="O913" s="306"/>
      <c r="P913" s="306"/>
      <c r="Q913" s="306"/>
      <c r="R913" s="306"/>
    </row>
    <row r="914" spans="1:18" ht="12.75" x14ac:dyDescent="0.2">
      <c r="A914" s="304"/>
      <c r="B914" s="305"/>
      <c r="M914" s="306"/>
      <c r="N914" s="306"/>
      <c r="O914" s="306"/>
      <c r="P914" s="306"/>
      <c r="Q914" s="306"/>
      <c r="R914" s="306"/>
    </row>
    <row r="915" spans="1:18" ht="12.75" x14ac:dyDescent="0.2">
      <c r="A915" s="304"/>
      <c r="B915" s="305"/>
      <c r="M915" s="306"/>
      <c r="N915" s="306"/>
      <c r="O915" s="306"/>
      <c r="P915" s="306"/>
      <c r="Q915" s="306"/>
      <c r="R915" s="306"/>
    </row>
    <row r="916" spans="1:18" ht="12.75" x14ac:dyDescent="0.2">
      <c r="A916" s="304"/>
      <c r="B916" s="305"/>
      <c r="M916" s="306"/>
      <c r="N916" s="306"/>
      <c r="O916" s="306"/>
      <c r="P916" s="306"/>
      <c r="Q916" s="306"/>
      <c r="R916" s="306"/>
    </row>
    <row r="917" spans="1:18" ht="12.75" x14ac:dyDescent="0.2">
      <c r="A917" s="304"/>
      <c r="B917" s="305"/>
      <c r="M917" s="306"/>
      <c r="N917" s="306"/>
      <c r="O917" s="306"/>
      <c r="P917" s="306"/>
      <c r="Q917" s="306"/>
      <c r="R917" s="306"/>
    </row>
    <row r="918" spans="1:18" ht="12.75" x14ac:dyDescent="0.2">
      <c r="A918" s="304"/>
      <c r="B918" s="305"/>
      <c r="M918" s="306"/>
      <c r="N918" s="306"/>
      <c r="O918" s="306"/>
      <c r="P918" s="306"/>
      <c r="Q918" s="306"/>
      <c r="R918" s="306"/>
    </row>
    <row r="919" spans="1:18" ht="12.75" x14ac:dyDescent="0.2">
      <c r="A919" s="304"/>
      <c r="B919" s="305"/>
      <c r="M919" s="306"/>
      <c r="N919" s="306"/>
      <c r="O919" s="306"/>
      <c r="P919" s="306"/>
      <c r="Q919" s="306"/>
      <c r="R919" s="306"/>
    </row>
    <row r="920" spans="1:18" ht="12.75" x14ac:dyDescent="0.2">
      <c r="A920" s="304"/>
      <c r="B920" s="305"/>
      <c r="M920" s="306"/>
      <c r="N920" s="306"/>
      <c r="O920" s="306"/>
      <c r="P920" s="306"/>
      <c r="Q920" s="306"/>
      <c r="R920" s="306"/>
    </row>
    <row r="921" spans="1:18" ht="12.75" x14ac:dyDescent="0.2">
      <c r="A921" s="304"/>
      <c r="B921" s="305"/>
      <c r="M921" s="306"/>
      <c r="N921" s="306"/>
      <c r="O921" s="306"/>
      <c r="P921" s="306"/>
      <c r="Q921" s="306"/>
      <c r="R921" s="306"/>
    </row>
    <row r="922" spans="1:18" ht="12.75" x14ac:dyDescent="0.2">
      <c r="A922" s="304"/>
      <c r="B922" s="305"/>
      <c r="M922" s="306"/>
      <c r="N922" s="306"/>
      <c r="O922" s="306"/>
      <c r="P922" s="306"/>
      <c r="Q922" s="306"/>
      <c r="R922" s="306"/>
    </row>
    <row r="923" spans="1:18" ht="12.75" x14ac:dyDescent="0.2">
      <c r="A923" s="304"/>
      <c r="B923" s="305"/>
      <c r="M923" s="306"/>
      <c r="N923" s="306"/>
      <c r="O923" s="306"/>
      <c r="P923" s="306"/>
      <c r="Q923" s="306"/>
      <c r="R923" s="306"/>
    </row>
    <row r="924" spans="1:18" ht="12.75" x14ac:dyDescent="0.2">
      <c r="A924" s="304"/>
      <c r="B924" s="305"/>
      <c r="M924" s="306"/>
      <c r="N924" s="306"/>
      <c r="O924" s="306"/>
      <c r="P924" s="306"/>
      <c r="Q924" s="306"/>
      <c r="R924" s="306"/>
    </row>
    <row r="925" spans="1:18" ht="12.75" x14ac:dyDescent="0.2">
      <c r="A925" s="304"/>
      <c r="B925" s="305"/>
      <c r="M925" s="306"/>
      <c r="N925" s="306"/>
      <c r="O925" s="306"/>
      <c r="P925" s="306"/>
      <c r="Q925" s="306"/>
      <c r="R925" s="306"/>
    </row>
    <row r="926" spans="1:18" ht="12.75" x14ac:dyDescent="0.2">
      <c r="A926" s="304"/>
      <c r="B926" s="305"/>
      <c r="M926" s="306"/>
      <c r="N926" s="306"/>
      <c r="O926" s="306"/>
      <c r="P926" s="306"/>
      <c r="Q926" s="306"/>
      <c r="R926" s="306"/>
    </row>
    <row r="927" spans="1:18" ht="12.75" x14ac:dyDescent="0.2">
      <c r="A927" s="304"/>
      <c r="B927" s="305"/>
      <c r="M927" s="306"/>
      <c r="N927" s="306"/>
      <c r="O927" s="306"/>
      <c r="P927" s="306"/>
      <c r="Q927" s="306"/>
      <c r="R927" s="306"/>
    </row>
    <row r="928" spans="1:18" ht="12.75" x14ac:dyDescent="0.2">
      <c r="A928" s="304"/>
      <c r="B928" s="305"/>
      <c r="M928" s="306"/>
      <c r="N928" s="306"/>
      <c r="O928" s="306"/>
      <c r="P928" s="306"/>
      <c r="Q928" s="306"/>
      <c r="R928" s="306"/>
    </row>
    <row r="929" spans="1:18" ht="12.75" x14ac:dyDescent="0.2">
      <c r="A929" s="304"/>
      <c r="B929" s="305"/>
      <c r="M929" s="306"/>
      <c r="N929" s="306"/>
      <c r="O929" s="306"/>
      <c r="P929" s="306"/>
      <c r="Q929" s="306"/>
      <c r="R929" s="306"/>
    </row>
    <row r="930" spans="1:18" ht="12.75" x14ac:dyDescent="0.2">
      <c r="A930" s="304"/>
      <c r="B930" s="305"/>
      <c r="M930" s="306"/>
      <c r="N930" s="306"/>
      <c r="O930" s="306"/>
      <c r="P930" s="306"/>
      <c r="Q930" s="306"/>
      <c r="R930" s="306"/>
    </row>
    <row r="931" spans="1:18" ht="12.75" x14ac:dyDescent="0.2">
      <c r="A931" s="304"/>
      <c r="B931" s="305"/>
      <c r="M931" s="306"/>
      <c r="N931" s="306"/>
      <c r="O931" s="306"/>
      <c r="P931" s="306"/>
      <c r="Q931" s="306"/>
      <c r="R931" s="306"/>
    </row>
    <row r="932" spans="1:18" ht="12.75" x14ac:dyDescent="0.2">
      <c r="A932" s="304"/>
      <c r="B932" s="305"/>
      <c r="M932" s="306"/>
      <c r="N932" s="306"/>
      <c r="O932" s="306"/>
      <c r="P932" s="306"/>
      <c r="Q932" s="306"/>
      <c r="R932" s="306"/>
    </row>
    <row r="933" spans="1:18" ht="12.75" x14ac:dyDescent="0.2">
      <c r="A933" s="304"/>
      <c r="B933" s="305"/>
      <c r="M933" s="306"/>
      <c r="N933" s="306"/>
      <c r="O933" s="306"/>
      <c r="P933" s="306"/>
      <c r="Q933" s="306"/>
      <c r="R933" s="306"/>
    </row>
    <row r="934" spans="1:18" ht="12.75" x14ac:dyDescent="0.2">
      <c r="A934" s="304"/>
      <c r="B934" s="305"/>
      <c r="M934" s="306"/>
      <c r="N934" s="306"/>
      <c r="O934" s="306"/>
      <c r="P934" s="306"/>
      <c r="Q934" s="306"/>
      <c r="R934" s="306"/>
    </row>
    <row r="935" spans="1:18" ht="12.75" x14ac:dyDescent="0.2">
      <c r="A935" s="304"/>
      <c r="B935" s="305"/>
      <c r="M935" s="306"/>
      <c r="N935" s="306"/>
      <c r="O935" s="306"/>
      <c r="P935" s="306"/>
      <c r="Q935" s="306"/>
      <c r="R935" s="306"/>
    </row>
    <row r="936" spans="1:18" ht="12.75" x14ac:dyDescent="0.2">
      <c r="A936" s="304"/>
      <c r="B936" s="305"/>
      <c r="M936" s="306"/>
      <c r="N936" s="306"/>
      <c r="O936" s="306"/>
      <c r="P936" s="306"/>
      <c r="Q936" s="306"/>
      <c r="R936" s="306"/>
    </row>
    <row r="937" spans="1:18" ht="12.75" x14ac:dyDescent="0.2">
      <c r="A937" s="304"/>
      <c r="B937" s="305"/>
      <c r="M937" s="306"/>
      <c r="N937" s="306"/>
      <c r="O937" s="306"/>
      <c r="P937" s="306"/>
      <c r="Q937" s="306"/>
      <c r="R937" s="306"/>
    </row>
    <row r="938" spans="1:18" ht="12.75" x14ac:dyDescent="0.2">
      <c r="A938" s="304"/>
      <c r="B938" s="305"/>
      <c r="M938" s="306"/>
      <c r="N938" s="306"/>
      <c r="O938" s="306"/>
      <c r="P938" s="306"/>
      <c r="Q938" s="306"/>
      <c r="R938" s="306"/>
    </row>
    <row r="939" spans="1:18" ht="12.75" x14ac:dyDescent="0.2">
      <c r="A939" s="304"/>
      <c r="B939" s="305"/>
      <c r="M939" s="306"/>
      <c r="N939" s="306"/>
      <c r="O939" s="306"/>
      <c r="P939" s="306"/>
      <c r="Q939" s="306"/>
      <c r="R939" s="306"/>
    </row>
    <row r="940" spans="1:18" ht="12.75" x14ac:dyDescent="0.2">
      <c r="A940" s="304"/>
      <c r="B940" s="305"/>
      <c r="M940" s="306"/>
      <c r="N940" s="306"/>
      <c r="O940" s="306"/>
      <c r="P940" s="306"/>
      <c r="Q940" s="306"/>
      <c r="R940" s="306"/>
    </row>
    <row r="941" spans="1:18" ht="12.75" x14ac:dyDescent="0.2">
      <c r="A941" s="304"/>
      <c r="B941" s="305"/>
      <c r="M941" s="306"/>
      <c r="N941" s="306"/>
      <c r="O941" s="306"/>
      <c r="P941" s="306"/>
      <c r="Q941" s="306"/>
      <c r="R941" s="306"/>
    </row>
    <row r="942" spans="1:18" ht="12.75" x14ac:dyDescent="0.2">
      <c r="A942" s="304"/>
      <c r="B942" s="305"/>
      <c r="M942" s="306"/>
      <c r="N942" s="306"/>
      <c r="O942" s="306"/>
      <c r="P942" s="306"/>
      <c r="Q942" s="306"/>
      <c r="R942" s="306"/>
    </row>
    <row r="943" spans="1:18" ht="12.75" x14ac:dyDescent="0.2">
      <c r="A943" s="304"/>
      <c r="B943" s="305"/>
      <c r="M943" s="306"/>
      <c r="N943" s="306"/>
      <c r="O943" s="306"/>
      <c r="P943" s="306"/>
      <c r="Q943" s="306"/>
      <c r="R943" s="306"/>
    </row>
    <row r="944" spans="1:18" ht="12.75" x14ac:dyDescent="0.2">
      <c r="A944" s="304"/>
      <c r="B944" s="305"/>
      <c r="M944" s="306"/>
      <c r="N944" s="306"/>
      <c r="O944" s="306"/>
      <c r="P944" s="306"/>
      <c r="Q944" s="306"/>
      <c r="R944" s="306"/>
    </row>
    <row r="945" spans="1:18" ht="12.75" x14ac:dyDescent="0.2">
      <c r="A945" s="304"/>
      <c r="B945" s="305"/>
      <c r="M945" s="306"/>
      <c r="N945" s="306"/>
      <c r="O945" s="306"/>
      <c r="P945" s="306"/>
      <c r="Q945" s="306"/>
      <c r="R945" s="306"/>
    </row>
    <row r="946" spans="1:18" ht="12.75" x14ac:dyDescent="0.2">
      <c r="A946" s="304"/>
      <c r="B946" s="305"/>
      <c r="M946" s="306"/>
      <c r="N946" s="306"/>
      <c r="O946" s="306"/>
      <c r="P946" s="306"/>
      <c r="Q946" s="306"/>
      <c r="R946" s="306"/>
    </row>
    <row r="947" spans="1:18" ht="12.75" x14ac:dyDescent="0.2">
      <c r="A947" s="304"/>
      <c r="B947" s="305"/>
      <c r="M947" s="306"/>
      <c r="N947" s="306"/>
      <c r="O947" s="306"/>
      <c r="P947" s="306"/>
      <c r="Q947" s="306"/>
      <c r="R947" s="306"/>
    </row>
    <row r="948" spans="1:18" ht="12.75" x14ac:dyDescent="0.2">
      <c r="A948" s="304"/>
      <c r="B948" s="305"/>
      <c r="M948" s="306"/>
      <c r="N948" s="306"/>
      <c r="O948" s="306"/>
      <c r="P948" s="306"/>
      <c r="Q948" s="306"/>
      <c r="R948" s="306"/>
    </row>
    <row r="949" spans="1:18" ht="12.75" x14ac:dyDescent="0.2">
      <c r="A949" s="304"/>
      <c r="B949" s="305"/>
      <c r="M949" s="306"/>
      <c r="N949" s="306"/>
      <c r="O949" s="306"/>
      <c r="P949" s="306"/>
      <c r="Q949" s="306"/>
      <c r="R949" s="306"/>
    </row>
    <row r="950" spans="1:18" ht="12.75" x14ac:dyDescent="0.2">
      <c r="A950" s="304"/>
      <c r="B950" s="305"/>
      <c r="M950" s="306"/>
      <c r="N950" s="306"/>
      <c r="O950" s="306"/>
      <c r="P950" s="306"/>
      <c r="Q950" s="306"/>
      <c r="R950" s="306"/>
    </row>
    <row r="951" spans="1:18" ht="12.75" x14ac:dyDescent="0.2">
      <c r="A951" s="304"/>
      <c r="B951" s="305"/>
      <c r="M951" s="306"/>
      <c r="N951" s="306"/>
      <c r="O951" s="306"/>
      <c r="P951" s="306"/>
      <c r="Q951" s="306"/>
      <c r="R951" s="306"/>
    </row>
    <row r="952" spans="1:18" ht="12.75" x14ac:dyDescent="0.2">
      <c r="A952" s="304"/>
      <c r="B952" s="305"/>
      <c r="M952" s="306"/>
      <c r="N952" s="306"/>
      <c r="O952" s="306"/>
      <c r="P952" s="306"/>
      <c r="Q952" s="306"/>
      <c r="R952" s="306"/>
    </row>
    <row r="953" spans="1:18" ht="12.75" x14ac:dyDescent="0.2">
      <c r="A953" s="304"/>
      <c r="B953" s="305"/>
      <c r="M953" s="306"/>
      <c r="N953" s="306"/>
      <c r="O953" s="306"/>
      <c r="P953" s="306"/>
      <c r="Q953" s="306"/>
      <c r="R953" s="306"/>
    </row>
    <row r="954" spans="1:18" ht="12.75" x14ac:dyDescent="0.2">
      <c r="A954" s="304"/>
      <c r="B954" s="305"/>
      <c r="M954" s="306"/>
      <c r="N954" s="306"/>
      <c r="O954" s="306"/>
      <c r="P954" s="306"/>
      <c r="Q954" s="306"/>
      <c r="R954" s="306"/>
    </row>
    <row r="955" spans="1:18" ht="12.75" x14ac:dyDescent="0.2">
      <c r="A955" s="304"/>
      <c r="B955" s="305"/>
      <c r="M955" s="306"/>
      <c r="N955" s="306"/>
      <c r="O955" s="306"/>
      <c r="P955" s="306"/>
      <c r="Q955" s="306"/>
      <c r="R955" s="306"/>
    </row>
    <row r="956" spans="1:18" ht="12.75" x14ac:dyDescent="0.2">
      <c r="A956" s="304"/>
      <c r="B956" s="305"/>
      <c r="M956" s="306"/>
      <c r="N956" s="306"/>
      <c r="O956" s="306"/>
      <c r="P956" s="306"/>
      <c r="Q956" s="306"/>
      <c r="R956" s="306"/>
    </row>
    <row r="957" spans="1:18" ht="12.75" x14ac:dyDescent="0.2">
      <c r="A957" s="304"/>
      <c r="B957" s="305"/>
      <c r="M957" s="306"/>
      <c r="N957" s="306"/>
      <c r="O957" s="306"/>
      <c r="P957" s="306"/>
      <c r="Q957" s="306"/>
      <c r="R957" s="306"/>
    </row>
    <row r="958" spans="1:18" ht="12.75" x14ac:dyDescent="0.2">
      <c r="A958" s="304"/>
      <c r="B958" s="305"/>
      <c r="M958" s="306"/>
      <c r="N958" s="306"/>
      <c r="O958" s="306"/>
      <c r="P958" s="306"/>
      <c r="Q958" s="306"/>
      <c r="R958" s="306"/>
    </row>
    <row r="959" spans="1:18" ht="12.75" x14ac:dyDescent="0.2">
      <c r="A959" s="304"/>
      <c r="B959" s="305"/>
      <c r="M959" s="306"/>
      <c r="N959" s="306"/>
      <c r="O959" s="306"/>
      <c r="P959" s="306"/>
      <c r="Q959" s="306"/>
      <c r="R959" s="306"/>
    </row>
    <row r="960" spans="1:18" ht="12.75" x14ac:dyDescent="0.2">
      <c r="A960" s="304"/>
      <c r="B960" s="305"/>
      <c r="M960" s="306"/>
      <c r="N960" s="306"/>
      <c r="O960" s="306"/>
      <c r="P960" s="306"/>
      <c r="Q960" s="306"/>
      <c r="R960" s="306"/>
    </row>
    <row r="961" spans="1:18" ht="12.75" x14ac:dyDescent="0.2">
      <c r="A961" s="304"/>
      <c r="B961" s="305"/>
      <c r="M961" s="306"/>
      <c r="N961" s="306"/>
      <c r="O961" s="306"/>
      <c r="P961" s="306"/>
      <c r="Q961" s="306"/>
      <c r="R961" s="306"/>
    </row>
    <row r="962" spans="1:18" ht="12.75" x14ac:dyDescent="0.2">
      <c r="A962" s="304"/>
      <c r="B962" s="305"/>
      <c r="M962" s="306"/>
      <c r="N962" s="306"/>
      <c r="O962" s="306"/>
      <c r="P962" s="306"/>
      <c r="Q962" s="306"/>
      <c r="R962" s="306"/>
    </row>
    <row r="963" spans="1:18" ht="12.75" x14ac:dyDescent="0.2">
      <c r="A963" s="304"/>
      <c r="B963" s="305"/>
      <c r="M963" s="306"/>
      <c r="N963" s="306"/>
      <c r="O963" s="306"/>
      <c r="P963" s="306"/>
      <c r="Q963" s="306"/>
      <c r="R963" s="306"/>
    </row>
    <row r="964" spans="1:18" ht="12.75" x14ac:dyDescent="0.2">
      <c r="A964" s="304"/>
      <c r="B964" s="305"/>
      <c r="M964" s="306"/>
      <c r="N964" s="306"/>
      <c r="O964" s="306"/>
      <c r="P964" s="306"/>
      <c r="Q964" s="306"/>
      <c r="R964" s="306"/>
    </row>
    <row r="965" spans="1:18" ht="12.75" x14ac:dyDescent="0.2">
      <c r="A965" s="304"/>
      <c r="B965" s="305"/>
      <c r="M965" s="306"/>
      <c r="N965" s="306"/>
      <c r="O965" s="306"/>
      <c r="P965" s="306"/>
      <c r="Q965" s="306"/>
      <c r="R965" s="306"/>
    </row>
    <row r="966" spans="1:18" ht="12.75" x14ac:dyDescent="0.2">
      <c r="A966" s="304"/>
      <c r="B966" s="305"/>
      <c r="M966" s="306"/>
      <c r="N966" s="306"/>
      <c r="O966" s="306"/>
      <c r="P966" s="306"/>
      <c r="Q966" s="306"/>
      <c r="R966" s="306"/>
    </row>
    <row r="967" spans="1:18" ht="12.75" x14ac:dyDescent="0.2">
      <c r="A967" s="304"/>
      <c r="B967" s="305"/>
      <c r="M967" s="306"/>
      <c r="N967" s="306"/>
      <c r="O967" s="306"/>
      <c r="P967" s="306"/>
      <c r="Q967" s="306"/>
      <c r="R967" s="306"/>
    </row>
    <row r="968" spans="1:18" ht="12.75" x14ac:dyDescent="0.2">
      <c r="A968" s="304"/>
      <c r="B968" s="305"/>
      <c r="M968" s="306"/>
      <c r="N968" s="306"/>
      <c r="O968" s="306"/>
      <c r="P968" s="306"/>
      <c r="Q968" s="306"/>
      <c r="R968" s="306"/>
    </row>
    <row r="969" spans="1:18" ht="12.75" x14ac:dyDescent="0.2">
      <c r="A969" s="304"/>
      <c r="B969" s="305"/>
      <c r="M969" s="306"/>
      <c r="N969" s="306"/>
      <c r="O969" s="306"/>
      <c r="P969" s="306"/>
      <c r="Q969" s="306"/>
      <c r="R969" s="306"/>
    </row>
    <row r="970" spans="1:18" ht="12.75" x14ac:dyDescent="0.2">
      <c r="A970" s="304"/>
      <c r="B970" s="305"/>
      <c r="M970" s="306"/>
      <c r="N970" s="306"/>
      <c r="O970" s="306"/>
      <c r="P970" s="306"/>
      <c r="Q970" s="306"/>
      <c r="R970" s="306"/>
    </row>
    <row r="971" spans="1:18" ht="12.75" x14ac:dyDescent="0.2">
      <c r="A971" s="304"/>
      <c r="B971" s="305"/>
      <c r="M971" s="306"/>
      <c r="N971" s="306"/>
      <c r="O971" s="306"/>
      <c r="P971" s="306"/>
      <c r="Q971" s="306"/>
      <c r="R971" s="306"/>
    </row>
    <row r="972" spans="1:18" ht="12.75" x14ac:dyDescent="0.2">
      <c r="A972" s="304"/>
      <c r="B972" s="305"/>
      <c r="M972" s="306"/>
      <c r="N972" s="306"/>
      <c r="O972" s="306"/>
      <c r="P972" s="306"/>
      <c r="Q972" s="306"/>
      <c r="R972" s="306"/>
    </row>
    <row r="973" spans="1:18" ht="12.75" x14ac:dyDescent="0.2">
      <c r="A973" s="304"/>
      <c r="B973" s="305"/>
      <c r="M973" s="306"/>
      <c r="N973" s="306"/>
      <c r="O973" s="306"/>
      <c r="P973" s="306"/>
      <c r="Q973" s="306"/>
      <c r="R973" s="306"/>
    </row>
    <row r="974" spans="1:18" ht="12.75" x14ac:dyDescent="0.2">
      <c r="A974" s="304"/>
      <c r="B974" s="305"/>
      <c r="M974" s="306"/>
      <c r="N974" s="306"/>
      <c r="O974" s="306"/>
      <c r="P974" s="306"/>
      <c r="Q974" s="306"/>
      <c r="R974" s="306"/>
    </row>
    <row r="975" spans="1:18" ht="12.75" x14ac:dyDescent="0.2">
      <c r="A975" s="304"/>
      <c r="B975" s="305"/>
      <c r="M975" s="306"/>
      <c r="N975" s="306"/>
      <c r="O975" s="306"/>
      <c r="P975" s="306"/>
      <c r="Q975" s="306"/>
      <c r="R975" s="306"/>
    </row>
    <row r="976" spans="1:18" ht="12.75" x14ac:dyDescent="0.2">
      <c r="A976" s="304"/>
      <c r="B976" s="305"/>
      <c r="M976" s="306"/>
      <c r="N976" s="306"/>
      <c r="O976" s="306"/>
      <c r="P976" s="306"/>
      <c r="Q976" s="306"/>
      <c r="R976" s="306"/>
    </row>
    <row r="977" spans="1:18" ht="12.75" x14ac:dyDescent="0.2">
      <c r="A977" s="304"/>
      <c r="B977" s="305"/>
      <c r="M977" s="306"/>
      <c r="N977" s="306"/>
      <c r="O977" s="306"/>
      <c r="P977" s="306"/>
      <c r="Q977" s="306"/>
      <c r="R977" s="306"/>
    </row>
    <row r="978" spans="1:18" ht="12.75" x14ac:dyDescent="0.2">
      <c r="A978" s="304"/>
      <c r="B978" s="305"/>
      <c r="M978" s="306"/>
      <c r="N978" s="306"/>
      <c r="O978" s="306"/>
      <c r="P978" s="306"/>
      <c r="Q978" s="306"/>
      <c r="R978" s="306"/>
    </row>
    <row r="979" spans="1:18" ht="12.75" x14ac:dyDescent="0.2">
      <c r="A979" s="304"/>
      <c r="B979" s="305"/>
      <c r="M979" s="306"/>
      <c r="N979" s="306"/>
      <c r="O979" s="306"/>
      <c r="P979" s="306"/>
      <c r="Q979" s="306"/>
      <c r="R979" s="306"/>
    </row>
    <row r="980" spans="1:18" ht="12.75" x14ac:dyDescent="0.2">
      <c r="A980" s="304"/>
      <c r="B980" s="305"/>
      <c r="M980" s="306"/>
      <c r="N980" s="306"/>
      <c r="O980" s="306"/>
      <c r="P980" s="306"/>
      <c r="Q980" s="306"/>
      <c r="R980" s="306"/>
    </row>
    <row r="981" spans="1:18" ht="12.75" x14ac:dyDescent="0.2">
      <c r="A981" s="304"/>
      <c r="B981" s="305"/>
      <c r="M981" s="306"/>
      <c r="N981" s="306"/>
      <c r="O981" s="306"/>
      <c r="P981" s="306"/>
      <c r="Q981" s="306"/>
      <c r="R981" s="306"/>
    </row>
    <row r="982" spans="1:18" ht="12.75" x14ac:dyDescent="0.2">
      <c r="A982" s="304"/>
      <c r="B982" s="305"/>
      <c r="M982" s="306"/>
      <c r="N982" s="306"/>
      <c r="O982" s="306"/>
      <c r="P982" s="306"/>
      <c r="Q982" s="306"/>
      <c r="R982" s="306"/>
    </row>
    <row r="983" spans="1:18" ht="12.75" x14ac:dyDescent="0.2">
      <c r="A983" s="304"/>
      <c r="B983" s="305"/>
      <c r="M983" s="306"/>
      <c r="N983" s="306"/>
      <c r="O983" s="306"/>
      <c r="P983" s="306"/>
      <c r="Q983" s="306"/>
      <c r="R983" s="306"/>
    </row>
    <row r="984" spans="1:18" ht="12.75" x14ac:dyDescent="0.2">
      <c r="A984" s="304"/>
      <c r="B984" s="305"/>
      <c r="M984" s="306"/>
      <c r="N984" s="306"/>
      <c r="O984" s="306"/>
      <c r="P984" s="306"/>
      <c r="Q984" s="306"/>
      <c r="R984" s="306"/>
    </row>
    <row r="985" spans="1:18" ht="12.75" x14ac:dyDescent="0.2">
      <c r="A985" s="304"/>
      <c r="B985" s="305"/>
      <c r="M985" s="306"/>
      <c r="N985" s="306"/>
      <c r="O985" s="306"/>
      <c r="P985" s="306"/>
      <c r="Q985" s="306"/>
      <c r="R985" s="306"/>
    </row>
    <row r="986" spans="1:18" ht="12.75" x14ac:dyDescent="0.2">
      <c r="A986" s="304"/>
      <c r="B986" s="305"/>
      <c r="M986" s="306"/>
      <c r="N986" s="306"/>
      <c r="O986" s="306"/>
      <c r="P986" s="306"/>
      <c r="Q986" s="306"/>
      <c r="R986" s="306"/>
    </row>
    <row r="987" spans="1:18" ht="12.75" x14ac:dyDescent="0.2">
      <c r="A987" s="304"/>
      <c r="B987" s="305"/>
      <c r="M987" s="306"/>
      <c r="N987" s="306"/>
      <c r="O987" s="306"/>
      <c r="P987" s="306"/>
      <c r="Q987" s="306"/>
      <c r="R987" s="306"/>
    </row>
    <row r="988" spans="1:18" ht="12.75" x14ac:dyDescent="0.2">
      <c r="A988" s="304"/>
      <c r="B988" s="305"/>
      <c r="M988" s="306"/>
      <c r="N988" s="306"/>
      <c r="O988" s="306"/>
      <c r="P988" s="306"/>
      <c r="Q988" s="306"/>
      <c r="R988" s="306"/>
    </row>
    <row r="989" spans="1:18" ht="12.75" x14ac:dyDescent="0.2">
      <c r="A989" s="304"/>
      <c r="B989" s="305"/>
      <c r="M989" s="306"/>
      <c r="N989" s="306"/>
      <c r="O989" s="306"/>
      <c r="P989" s="306"/>
      <c r="Q989" s="306"/>
      <c r="R989" s="306"/>
    </row>
    <row r="990" spans="1:18" ht="12.75" x14ac:dyDescent="0.2">
      <c r="A990" s="304"/>
      <c r="B990" s="305"/>
      <c r="M990" s="306"/>
      <c r="N990" s="306"/>
      <c r="O990" s="306"/>
      <c r="P990" s="306"/>
      <c r="Q990" s="306"/>
      <c r="R990" s="306"/>
    </row>
    <row r="991" spans="1:18" ht="12.75" x14ac:dyDescent="0.2">
      <c r="A991" s="304"/>
      <c r="B991" s="305"/>
      <c r="M991" s="306"/>
      <c r="N991" s="306"/>
      <c r="O991" s="306"/>
      <c r="P991" s="306"/>
      <c r="Q991" s="306"/>
      <c r="R991" s="306"/>
    </row>
    <row r="992" spans="1:18" ht="12.75" x14ac:dyDescent="0.2">
      <c r="A992" s="304"/>
      <c r="B992" s="305"/>
      <c r="M992" s="306"/>
      <c r="N992" s="306"/>
      <c r="O992" s="306"/>
      <c r="P992" s="306"/>
      <c r="Q992" s="306"/>
      <c r="R992" s="306"/>
    </row>
    <row r="993" spans="1:18" ht="12.75" x14ac:dyDescent="0.2">
      <c r="A993" s="304"/>
      <c r="B993" s="305"/>
      <c r="M993" s="306"/>
      <c r="N993" s="306"/>
      <c r="O993" s="306"/>
      <c r="P993" s="306"/>
      <c r="Q993" s="306"/>
      <c r="R993" s="306"/>
    </row>
    <row r="994" spans="1:18" ht="12.75" x14ac:dyDescent="0.2">
      <c r="A994" s="304"/>
      <c r="B994" s="305"/>
      <c r="M994" s="306"/>
      <c r="N994" s="306"/>
      <c r="O994" s="306"/>
      <c r="P994" s="306"/>
      <c r="Q994" s="306"/>
      <c r="R994" s="306"/>
    </row>
    <row r="995" spans="1:18" ht="12.75" x14ac:dyDescent="0.2">
      <c r="A995" s="304"/>
      <c r="B995" s="305"/>
      <c r="M995" s="306"/>
      <c r="N995" s="306"/>
      <c r="O995" s="306"/>
      <c r="P995" s="306"/>
      <c r="Q995" s="306"/>
      <c r="R995" s="306"/>
    </row>
    <row r="996" spans="1:18" ht="12.75" x14ac:dyDescent="0.2">
      <c r="A996" s="304"/>
      <c r="B996" s="305"/>
      <c r="M996" s="306"/>
      <c r="N996" s="306"/>
      <c r="O996" s="306"/>
      <c r="P996" s="306"/>
      <c r="Q996" s="306"/>
      <c r="R996" s="306"/>
    </row>
    <row r="997" spans="1:18" ht="12.75" x14ac:dyDescent="0.2">
      <c r="A997" s="304"/>
      <c r="B997" s="305"/>
      <c r="M997" s="306"/>
      <c r="N997" s="306"/>
      <c r="O997" s="306"/>
      <c r="P997" s="306"/>
      <c r="Q997" s="306"/>
      <c r="R997" s="306"/>
    </row>
    <row r="998" spans="1:18" ht="12.75" x14ac:dyDescent="0.2">
      <c r="A998" s="304"/>
      <c r="B998" s="305"/>
      <c r="M998" s="306"/>
      <c r="N998" s="306"/>
      <c r="O998" s="306"/>
      <c r="P998" s="306"/>
      <c r="Q998" s="306"/>
      <c r="R998" s="306"/>
    </row>
    <row r="999" spans="1:18" ht="12.75" x14ac:dyDescent="0.2">
      <c r="A999" s="304"/>
      <c r="B999" s="305"/>
      <c r="M999" s="306"/>
      <c r="N999" s="306"/>
      <c r="O999" s="306"/>
      <c r="P999" s="306"/>
      <c r="Q999" s="306"/>
      <c r="R999" s="306"/>
    </row>
    <row r="1000" spans="1:18" ht="12.75" x14ac:dyDescent="0.2">
      <c r="A1000" s="304"/>
      <c r="B1000" s="305"/>
      <c r="M1000" s="306"/>
      <c r="N1000" s="306"/>
      <c r="O1000" s="306"/>
      <c r="P1000" s="306"/>
      <c r="Q1000" s="306"/>
      <c r="R1000" s="306"/>
    </row>
    <row r="1001" spans="1:18" ht="12.75" x14ac:dyDescent="0.2">
      <c r="A1001" s="304"/>
      <c r="B1001" s="305"/>
      <c r="M1001" s="306"/>
      <c r="N1001" s="306"/>
      <c r="O1001" s="306"/>
      <c r="P1001" s="306"/>
      <c r="Q1001" s="306"/>
      <c r="R1001" s="306"/>
    </row>
    <row r="1002" spans="1:18" ht="12.75" x14ac:dyDescent="0.2">
      <c r="A1002" s="304"/>
      <c r="B1002" s="305"/>
      <c r="M1002" s="306"/>
      <c r="N1002" s="306"/>
      <c r="O1002" s="306"/>
      <c r="P1002" s="306"/>
      <c r="Q1002" s="306"/>
      <c r="R1002" s="306"/>
    </row>
    <row r="1003" spans="1:18" ht="12.75" x14ac:dyDescent="0.2">
      <c r="A1003" s="304"/>
      <c r="B1003" s="305"/>
      <c r="M1003" s="306"/>
      <c r="N1003" s="306"/>
      <c r="O1003" s="306"/>
      <c r="P1003" s="306"/>
      <c r="Q1003" s="306"/>
      <c r="R1003" s="306"/>
    </row>
    <row r="1004" spans="1:18" ht="12.75" x14ac:dyDescent="0.2">
      <c r="A1004" s="304"/>
      <c r="B1004" s="305"/>
      <c r="M1004" s="306"/>
      <c r="N1004" s="306"/>
      <c r="O1004" s="306"/>
      <c r="P1004" s="306"/>
      <c r="Q1004" s="306"/>
      <c r="R1004" s="306"/>
    </row>
    <row r="1005" spans="1:18" ht="12.75" x14ac:dyDescent="0.2">
      <c r="A1005" s="304"/>
      <c r="B1005" s="305"/>
      <c r="M1005" s="306"/>
      <c r="N1005" s="306"/>
      <c r="O1005" s="306"/>
      <c r="P1005" s="306"/>
      <c r="Q1005" s="306"/>
      <c r="R1005" s="306"/>
    </row>
    <row r="1006" spans="1:18" ht="12.75" x14ac:dyDescent="0.2">
      <c r="A1006" s="304"/>
      <c r="B1006" s="305"/>
      <c r="M1006" s="306"/>
      <c r="N1006" s="306"/>
      <c r="O1006" s="306"/>
      <c r="P1006" s="306"/>
      <c r="Q1006" s="306"/>
      <c r="R1006" s="306"/>
    </row>
    <row r="1007" spans="1:18" ht="12.75" x14ac:dyDescent="0.2">
      <c r="A1007" s="304"/>
      <c r="B1007" s="305"/>
      <c r="M1007" s="306"/>
      <c r="N1007" s="306"/>
      <c r="O1007" s="306"/>
      <c r="P1007" s="306"/>
      <c r="Q1007" s="306"/>
      <c r="R1007" s="306"/>
    </row>
    <row r="1008" spans="1:18" ht="12.75" x14ac:dyDescent="0.2">
      <c r="A1008" s="304"/>
      <c r="B1008" s="305"/>
      <c r="M1008" s="306"/>
      <c r="N1008" s="306"/>
      <c r="O1008" s="306"/>
      <c r="P1008" s="306"/>
      <c r="Q1008" s="306"/>
      <c r="R1008" s="306"/>
    </row>
    <row r="1009" spans="1:18" ht="12.75" x14ac:dyDescent="0.2">
      <c r="A1009" s="304"/>
      <c r="B1009" s="305"/>
      <c r="M1009" s="306"/>
      <c r="N1009" s="306"/>
      <c r="O1009" s="306"/>
      <c r="P1009" s="306"/>
      <c r="Q1009" s="306"/>
      <c r="R1009" s="306"/>
    </row>
    <row r="1010" spans="1:18" ht="12.75" x14ac:dyDescent="0.2">
      <c r="A1010" s="304"/>
      <c r="B1010" s="305"/>
      <c r="M1010" s="306"/>
      <c r="N1010" s="306"/>
      <c r="O1010" s="306"/>
      <c r="P1010" s="306"/>
      <c r="Q1010" s="306"/>
      <c r="R1010" s="306"/>
    </row>
    <row r="1011" spans="1:18" ht="12.75" x14ac:dyDescent="0.2">
      <c r="A1011" s="304"/>
      <c r="B1011" s="305"/>
      <c r="M1011" s="306"/>
      <c r="N1011" s="306"/>
      <c r="O1011" s="306"/>
      <c r="P1011" s="306"/>
      <c r="Q1011" s="306"/>
      <c r="R1011" s="306"/>
    </row>
    <row r="1012" spans="1:18" ht="12.75" x14ac:dyDescent="0.2">
      <c r="A1012" s="304"/>
      <c r="B1012" s="305"/>
      <c r="M1012" s="306"/>
      <c r="N1012" s="306"/>
      <c r="O1012" s="306"/>
      <c r="P1012" s="306"/>
      <c r="Q1012" s="306"/>
      <c r="R1012" s="306"/>
    </row>
    <row r="1013" spans="1:18" ht="12.75" x14ac:dyDescent="0.2">
      <c r="A1013" s="304"/>
      <c r="B1013" s="305"/>
      <c r="M1013" s="306"/>
      <c r="N1013" s="306"/>
      <c r="O1013" s="306"/>
      <c r="P1013" s="306"/>
      <c r="Q1013" s="306"/>
      <c r="R1013" s="306"/>
    </row>
    <row r="1014" spans="1:18" ht="12.75" x14ac:dyDescent="0.2">
      <c r="A1014" s="304"/>
      <c r="B1014" s="305"/>
      <c r="M1014" s="306"/>
      <c r="N1014" s="306"/>
      <c r="O1014" s="306"/>
      <c r="P1014" s="306"/>
      <c r="Q1014" s="306"/>
      <c r="R1014" s="306"/>
    </row>
    <row r="1015" spans="1:18" ht="12.75" x14ac:dyDescent="0.2">
      <c r="A1015" s="304"/>
      <c r="B1015" s="305"/>
      <c r="M1015" s="306"/>
      <c r="N1015" s="306"/>
      <c r="O1015" s="306"/>
      <c r="P1015" s="306"/>
      <c r="Q1015" s="306"/>
      <c r="R1015" s="306"/>
    </row>
    <row r="1016" spans="1:18" ht="12.75" x14ac:dyDescent="0.2">
      <c r="A1016" s="304"/>
      <c r="B1016" s="305"/>
      <c r="M1016" s="306"/>
      <c r="N1016" s="306"/>
      <c r="O1016" s="306"/>
      <c r="P1016" s="306"/>
      <c r="Q1016" s="306"/>
      <c r="R1016" s="306"/>
    </row>
  </sheetData>
  <printOptions horizontalCentered="1" gridLines="1"/>
  <pageMargins left="0.7" right="0.7" top="0.75" bottom="0.75" header="0" footer="0"/>
  <pageSetup pageOrder="overThenDown" orientation="landscape" cellComments="atEnd"/>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H14"/>
  <sheetViews>
    <sheetView workbookViewId="0"/>
  </sheetViews>
  <sheetFormatPr defaultColWidth="12.5703125" defaultRowHeight="15" customHeight="1" x14ac:dyDescent="0.2"/>
  <cols>
    <col min="2" max="2" width="15.5703125" customWidth="1"/>
    <col min="3" max="6" width="15" customWidth="1"/>
    <col min="7" max="7" width="15.7109375" customWidth="1"/>
  </cols>
  <sheetData>
    <row r="1" spans="1:8" ht="15" customHeight="1" x14ac:dyDescent="0.2">
      <c r="A1" s="200" t="s">
        <v>335</v>
      </c>
      <c r="B1" s="200" t="s">
        <v>602</v>
      </c>
      <c r="C1" s="200" t="s">
        <v>603</v>
      </c>
      <c r="D1" s="200" t="s">
        <v>604</v>
      </c>
      <c r="E1" s="200" t="s">
        <v>605</v>
      </c>
      <c r="F1" s="200" t="s">
        <v>606</v>
      </c>
      <c r="G1" s="200" t="s">
        <v>607</v>
      </c>
      <c r="H1" s="200" t="s">
        <v>608</v>
      </c>
    </row>
    <row r="2" spans="1:8" ht="15" customHeight="1" x14ac:dyDescent="0.2">
      <c r="A2" s="200" t="s">
        <v>20</v>
      </c>
      <c r="B2" s="200">
        <v>75</v>
      </c>
      <c r="C2" s="200" t="s">
        <v>609</v>
      </c>
      <c r="D2" s="200">
        <v>5</v>
      </c>
      <c r="E2" s="200"/>
      <c r="F2" s="200">
        <v>75</v>
      </c>
      <c r="G2" s="200">
        <v>95</v>
      </c>
      <c r="H2" s="200">
        <v>105</v>
      </c>
    </row>
    <row r="3" spans="1:8" ht="15" customHeight="1" x14ac:dyDescent="0.2">
      <c r="A3" s="200" t="s">
        <v>19</v>
      </c>
      <c r="B3" s="200">
        <v>80</v>
      </c>
      <c r="C3" s="200" t="s">
        <v>609</v>
      </c>
      <c r="D3" s="200">
        <v>5</v>
      </c>
    </row>
    <row r="4" spans="1:8" ht="15" customHeight="1" x14ac:dyDescent="0.2">
      <c r="A4" s="200" t="s">
        <v>18</v>
      </c>
      <c r="B4" s="200">
        <v>85</v>
      </c>
      <c r="C4" s="200" t="s">
        <v>609</v>
      </c>
      <c r="D4" s="200">
        <v>5</v>
      </c>
    </row>
    <row r="5" spans="1:8" ht="15" customHeight="1" x14ac:dyDescent="0.2">
      <c r="A5" s="200" t="s">
        <v>17</v>
      </c>
      <c r="B5" s="200">
        <v>90</v>
      </c>
      <c r="C5" s="200" t="s">
        <v>609</v>
      </c>
      <c r="D5" s="200">
        <v>5</v>
      </c>
    </row>
    <row r="6" spans="1:8" ht="15" customHeight="1" x14ac:dyDescent="0.2">
      <c r="A6" s="200" t="s">
        <v>30</v>
      </c>
      <c r="B6" s="200">
        <v>95</v>
      </c>
      <c r="C6" s="200" t="s">
        <v>609</v>
      </c>
      <c r="D6" s="200">
        <v>5</v>
      </c>
    </row>
    <row r="7" spans="1:8" ht="15" customHeight="1" x14ac:dyDescent="0.2">
      <c r="A7" s="200" t="s">
        <v>15</v>
      </c>
      <c r="B7" s="200">
        <v>100</v>
      </c>
      <c r="C7" s="200" t="s">
        <v>609</v>
      </c>
      <c r="D7" s="200">
        <v>5</v>
      </c>
    </row>
    <row r="8" spans="1:8" ht="15" customHeight="1" x14ac:dyDescent="0.2">
      <c r="A8" s="200" t="s">
        <v>14</v>
      </c>
      <c r="B8" s="200">
        <v>105</v>
      </c>
      <c r="C8" s="200" t="s">
        <v>609</v>
      </c>
      <c r="D8" s="200">
        <v>5</v>
      </c>
    </row>
    <row r="9" spans="1:8" ht="15" customHeight="1" x14ac:dyDescent="0.2">
      <c r="A9" s="200" t="s">
        <v>13</v>
      </c>
      <c r="B9" s="200">
        <v>110</v>
      </c>
      <c r="C9" s="200" t="s">
        <v>609</v>
      </c>
      <c r="D9" s="200">
        <v>5</v>
      </c>
    </row>
    <row r="10" spans="1:8" ht="15" customHeight="1" x14ac:dyDescent="0.2">
      <c r="A10" s="200" t="s">
        <v>12</v>
      </c>
      <c r="B10" s="200">
        <v>115</v>
      </c>
      <c r="C10" s="200" t="s">
        <v>609</v>
      </c>
      <c r="D10" s="200">
        <v>5</v>
      </c>
    </row>
    <row r="11" spans="1:8" ht="15" customHeight="1" x14ac:dyDescent="0.2">
      <c r="A11" s="200" t="s">
        <v>240</v>
      </c>
      <c r="B11" s="200">
        <v>120</v>
      </c>
      <c r="C11" s="200" t="s">
        <v>609</v>
      </c>
      <c r="D11" s="200">
        <v>5</v>
      </c>
    </row>
    <row r="12" spans="1:8" ht="15" customHeight="1" x14ac:dyDescent="0.2">
      <c r="A12" s="200" t="s">
        <v>10</v>
      </c>
      <c r="B12" s="200">
        <v>125</v>
      </c>
      <c r="C12" s="200" t="s">
        <v>609</v>
      </c>
      <c r="D12" s="200">
        <v>5</v>
      </c>
    </row>
    <row r="13" spans="1:8" ht="15" customHeight="1" x14ac:dyDescent="0.2">
      <c r="A13" s="200" t="s">
        <v>9</v>
      </c>
      <c r="B13" s="200">
        <v>130</v>
      </c>
      <c r="C13" s="200" t="s">
        <v>609</v>
      </c>
      <c r="D13" s="200">
        <v>5</v>
      </c>
    </row>
    <row r="14" spans="1:8" ht="15" customHeight="1" x14ac:dyDescent="0.2">
      <c r="A14" s="200" t="s">
        <v>8</v>
      </c>
      <c r="B14" s="200">
        <v>135</v>
      </c>
      <c r="C14" s="200" t="s">
        <v>609</v>
      </c>
      <c r="D14" s="200">
        <v>5</v>
      </c>
      <c r="E14" s="200"/>
      <c r="F14" s="200">
        <v>180</v>
      </c>
      <c r="G14" s="200">
        <v>220</v>
      </c>
      <c r="H14" s="200">
        <v>250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G23"/>
  <sheetViews>
    <sheetView workbookViewId="0"/>
  </sheetViews>
  <sheetFormatPr defaultColWidth="12.5703125" defaultRowHeight="15" customHeight="1" x14ac:dyDescent="0.2"/>
  <cols>
    <col min="1" max="1" width="1.85546875" customWidth="1"/>
    <col min="4" max="4" width="10.140625" customWidth="1"/>
    <col min="5" max="6" width="6.42578125" customWidth="1"/>
    <col min="7" max="7" width="41.42578125" customWidth="1"/>
  </cols>
  <sheetData>
    <row r="1" spans="1:7" ht="15" customHeight="1" x14ac:dyDescent="0.2">
      <c r="A1" s="200" t="s">
        <v>610</v>
      </c>
      <c r="B1" s="200" t="s">
        <v>611</v>
      </c>
      <c r="C1" s="200" t="s">
        <v>612</v>
      </c>
      <c r="D1" s="200" t="s">
        <v>335</v>
      </c>
      <c r="E1" s="200" t="s">
        <v>613</v>
      </c>
      <c r="F1" s="200" t="s">
        <v>614</v>
      </c>
      <c r="G1" s="200" t="s">
        <v>2</v>
      </c>
    </row>
    <row r="2" spans="1:7" ht="15" customHeight="1" x14ac:dyDescent="0.2">
      <c r="A2" s="200">
        <v>1</v>
      </c>
      <c r="B2" s="200" t="s">
        <v>615</v>
      </c>
      <c r="C2" s="200" t="s">
        <v>616</v>
      </c>
      <c r="D2" s="200" t="s">
        <v>617</v>
      </c>
      <c r="E2" s="200" t="s">
        <v>618</v>
      </c>
      <c r="F2" s="315">
        <v>43687</v>
      </c>
      <c r="G2" s="200" t="s">
        <v>619</v>
      </c>
    </row>
    <row r="3" spans="1:7" ht="15" customHeight="1" x14ac:dyDescent="0.2">
      <c r="A3" s="200">
        <v>2</v>
      </c>
      <c r="B3" s="200" t="s">
        <v>620</v>
      </c>
      <c r="C3" s="200" t="s">
        <v>621</v>
      </c>
      <c r="E3" s="315"/>
      <c r="F3" s="315">
        <v>43687</v>
      </c>
      <c r="G3" s="200" t="s">
        <v>619</v>
      </c>
    </row>
    <row r="4" spans="1:7" ht="15" customHeight="1" x14ac:dyDescent="0.2">
      <c r="A4" s="200">
        <v>3</v>
      </c>
      <c r="B4" s="200" t="s">
        <v>622</v>
      </c>
      <c r="C4" s="200" t="s">
        <v>623</v>
      </c>
      <c r="D4" s="200" t="s">
        <v>624</v>
      </c>
      <c r="E4" s="200" t="s">
        <v>625</v>
      </c>
      <c r="F4" s="315">
        <v>43708</v>
      </c>
      <c r="G4" s="200" t="s">
        <v>626</v>
      </c>
    </row>
    <row r="5" spans="1:7" ht="15" customHeight="1" x14ac:dyDescent="0.2">
      <c r="A5" s="200">
        <v>4</v>
      </c>
      <c r="B5" s="200" t="s">
        <v>627</v>
      </c>
      <c r="C5" s="200" t="s">
        <v>628</v>
      </c>
      <c r="E5" s="315"/>
      <c r="F5" s="315">
        <v>43716</v>
      </c>
      <c r="G5" s="200" t="s">
        <v>629</v>
      </c>
    </row>
    <row r="6" spans="1:7" ht="15" customHeight="1" x14ac:dyDescent="0.2">
      <c r="A6" s="200">
        <v>5</v>
      </c>
      <c r="B6" s="200" t="s">
        <v>630</v>
      </c>
      <c r="C6" s="200" t="s">
        <v>631</v>
      </c>
      <c r="F6" s="315">
        <v>43723</v>
      </c>
      <c r="G6" s="200" t="s">
        <v>632</v>
      </c>
    </row>
    <row r="7" spans="1:7" ht="15" customHeight="1" x14ac:dyDescent="0.2">
      <c r="B7" s="200" t="s">
        <v>633</v>
      </c>
      <c r="F7" s="314">
        <v>43731</v>
      </c>
      <c r="G7" s="200" t="s">
        <v>634</v>
      </c>
    </row>
    <row r="8" spans="1:7" ht="15" customHeight="1" x14ac:dyDescent="0.2">
      <c r="B8" s="200" t="s">
        <v>635</v>
      </c>
      <c r="F8" s="314">
        <v>43733</v>
      </c>
      <c r="G8" s="200" t="s">
        <v>634</v>
      </c>
    </row>
    <row r="9" spans="1:7" ht="15" customHeight="1" x14ac:dyDescent="0.2">
      <c r="B9" s="200" t="s">
        <v>636</v>
      </c>
      <c r="G9" s="200" t="s">
        <v>637</v>
      </c>
    </row>
    <row r="12" spans="1:7" ht="15" customHeight="1" x14ac:dyDescent="0.2">
      <c r="B12" s="200" t="s">
        <v>638</v>
      </c>
    </row>
    <row r="13" spans="1:7" ht="15" customHeight="1" x14ac:dyDescent="0.2">
      <c r="B13" s="200" t="s">
        <v>639</v>
      </c>
      <c r="C13" s="200" t="s">
        <v>640</v>
      </c>
    </row>
    <row r="14" spans="1:7" ht="15" customHeight="1" x14ac:dyDescent="0.2">
      <c r="B14" s="200" t="s">
        <v>641</v>
      </c>
      <c r="C14" s="200" t="s">
        <v>642</v>
      </c>
    </row>
    <row r="15" spans="1:7" ht="15" customHeight="1" x14ac:dyDescent="0.2">
      <c r="B15" s="200" t="s">
        <v>643</v>
      </c>
      <c r="C15" s="200" t="s">
        <v>644</v>
      </c>
    </row>
    <row r="16" spans="1:7" ht="15" customHeight="1" x14ac:dyDescent="0.2">
      <c r="B16" s="200" t="s">
        <v>622</v>
      </c>
      <c r="C16" s="200" t="s">
        <v>623</v>
      </c>
    </row>
    <row r="17" spans="2:3" ht="15" customHeight="1" x14ac:dyDescent="0.2">
      <c r="B17" s="200" t="s">
        <v>645</v>
      </c>
    </row>
    <row r="21" spans="2:3" ht="15" customHeight="1" x14ac:dyDescent="0.2">
      <c r="B21" s="200" t="s">
        <v>646</v>
      </c>
      <c r="C21" s="200" t="s">
        <v>647</v>
      </c>
    </row>
    <row r="22" spans="2:3" ht="15" customHeight="1" x14ac:dyDescent="0.2">
      <c r="B22" s="200" t="s">
        <v>648</v>
      </c>
      <c r="C22" s="200" t="s">
        <v>649</v>
      </c>
    </row>
    <row r="23" spans="2:3" ht="15" customHeight="1" x14ac:dyDescent="0.2">
      <c r="B23" s="200" t="s">
        <v>579</v>
      </c>
      <c r="C23" s="200" t="s">
        <v>650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A1002"/>
  <sheetViews>
    <sheetView showGridLines="0" workbookViewId="0">
      <selection activeCell="Y1" sqref="Y1:Y1048576"/>
    </sheetView>
  </sheetViews>
  <sheetFormatPr defaultColWidth="12.5703125" defaultRowHeight="15" customHeight="1" x14ac:dyDescent="0.2"/>
  <cols>
    <col min="1" max="1" width="137.140625" customWidth="1"/>
    <col min="2" max="2" width="13.140625" customWidth="1"/>
    <col min="3" max="3" width="13.7109375" customWidth="1"/>
    <col min="4" max="5" width="13.42578125" customWidth="1"/>
    <col min="6" max="6" width="13.28515625" customWidth="1"/>
    <col min="7" max="7" width="13.7109375" customWidth="1"/>
    <col min="8" max="9" width="9.85546875" customWidth="1"/>
    <col min="10" max="10" width="6.42578125" customWidth="1"/>
    <col min="11" max="11" width="20.5703125" customWidth="1"/>
    <col min="12" max="12" width="9.5703125" customWidth="1"/>
    <col min="13" max="13" width="12.85546875" customWidth="1"/>
    <col min="14" max="14" width="10.42578125" customWidth="1"/>
    <col min="15" max="15" width="7" bestFit="1" customWidth="1"/>
    <col min="16" max="16" width="6.42578125" customWidth="1"/>
    <col min="17" max="17" width="5.140625" customWidth="1"/>
    <col min="18" max="18" width="13.85546875" customWidth="1"/>
    <col min="19" max="19" width="16" customWidth="1"/>
    <col min="20" max="21" width="9.7109375" customWidth="1"/>
    <col min="22" max="22" width="7.7109375" customWidth="1"/>
    <col min="23" max="23" width="11.7109375" customWidth="1"/>
    <col min="24" max="24" width="7.7109375" customWidth="1"/>
    <col min="25" max="25" width="8.140625" bestFit="1" customWidth="1"/>
    <col min="26" max="26" width="7.7109375" customWidth="1"/>
    <col min="27" max="28" width="8.140625" customWidth="1"/>
    <col min="29" max="29" width="6.42578125" customWidth="1"/>
    <col min="30" max="30" width="8.42578125" customWidth="1"/>
    <col min="31" max="31" width="6.42578125" customWidth="1"/>
    <col min="32" max="32" width="7.28515625" customWidth="1"/>
    <col min="33" max="46" width="7.7109375" customWidth="1"/>
    <col min="47" max="47" width="6.42578125" customWidth="1"/>
    <col min="48" max="53" width="5.85546875" customWidth="1"/>
  </cols>
  <sheetData>
    <row r="1" spans="1:53" ht="13.5" customHeight="1" x14ac:dyDescent="0.2">
      <c r="A1" s="327"/>
      <c r="B1" s="327"/>
      <c r="C1" s="327"/>
      <c r="D1" s="327"/>
      <c r="E1" s="327"/>
      <c r="F1" s="327"/>
      <c r="G1" s="327"/>
      <c r="H1" s="327"/>
      <c r="I1" s="327"/>
      <c r="J1" s="328"/>
      <c r="K1" s="329"/>
      <c r="L1" s="330"/>
      <c r="M1" s="330"/>
      <c r="N1" s="330"/>
      <c r="O1" s="330"/>
      <c r="P1" s="329"/>
      <c r="Q1" s="330"/>
      <c r="R1" s="331"/>
      <c r="S1" s="329"/>
      <c r="T1" s="329"/>
      <c r="U1" s="329"/>
      <c r="V1" s="330"/>
      <c r="W1" s="330"/>
      <c r="X1" s="330"/>
      <c r="Y1" s="330"/>
      <c r="Z1" s="330"/>
      <c r="AA1" s="329"/>
      <c r="AB1" s="329"/>
      <c r="AC1" s="329"/>
      <c r="AD1" s="329"/>
      <c r="AE1" s="329"/>
      <c r="AF1" s="329"/>
      <c r="AG1" s="329"/>
      <c r="AH1" s="330"/>
      <c r="AI1" s="330"/>
      <c r="AJ1" s="330"/>
      <c r="AK1" s="330"/>
      <c r="AL1" s="330"/>
      <c r="AM1" s="330"/>
      <c r="AN1" s="330"/>
      <c r="AO1" s="330"/>
      <c r="AP1" s="330"/>
      <c r="AQ1" s="330"/>
      <c r="AR1" s="330"/>
      <c r="AS1" s="330"/>
      <c r="AT1" s="330"/>
      <c r="AU1" s="328"/>
      <c r="AV1" s="329"/>
      <c r="AW1" s="329"/>
      <c r="AX1" s="329"/>
      <c r="AY1" s="329"/>
      <c r="AZ1" s="329"/>
      <c r="BA1" s="329"/>
    </row>
    <row r="2" spans="1:53" ht="13.5" customHeight="1" x14ac:dyDescent="0.2">
      <c r="A2" s="327"/>
      <c r="B2" s="327"/>
      <c r="C2" s="327"/>
      <c r="D2" s="327"/>
      <c r="E2" s="327"/>
      <c r="F2" s="327"/>
      <c r="G2" s="327"/>
      <c r="H2" s="327"/>
      <c r="I2" s="327"/>
      <c r="J2" s="328"/>
      <c r="K2" s="329"/>
      <c r="L2" s="330"/>
      <c r="M2" s="330"/>
      <c r="N2" s="330"/>
      <c r="O2" s="330"/>
      <c r="P2" s="329"/>
      <c r="Q2" s="330"/>
      <c r="R2" s="331"/>
      <c r="S2" s="329"/>
      <c r="T2" s="329"/>
      <c r="U2" s="329"/>
      <c r="V2" s="330"/>
      <c r="W2" s="330"/>
      <c r="X2" s="330"/>
      <c r="Y2" s="330"/>
      <c r="Z2" s="330"/>
      <c r="AA2" s="329"/>
      <c r="AB2" s="329"/>
      <c r="AC2" s="329"/>
      <c r="AD2" s="329"/>
      <c r="AE2" s="329"/>
      <c r="AF2" s="329"/>
      <c r="AG2" s="329"/>
      <c r="AH2" s="330"/>
      <c r="AI2" s="330"/>
      <c r="AJ2" s="330"/>
      <c r="AK2" s="330"/>
      <c r="AL2" s="330"/>
      <c r="AM2" s="330"/>
      <c r="AN2" s="330"/>
      <c r="AO2" s="330"/>
      <c r="AP2" s="330"/>
      <c r="AQ2" s="330"/>
      <c r="AR2" s="330"/>
      <c r="AS2" s="330"/>
      <c r="AT2" s="330"/>
      <c r="AU2" s="328"/>
      <c r="AV2" s="329"/>
      <c r="AW2" s="329"/>
      <c r="AX2" s="329"/>
      <c r="AY2" s="329"/>
      <c r="AZ2" s="329"/>
      <c r="BA2" s="329"/>
    </row>
    <row r="3" spans="1:53" ht="13.5" customHeight="1" x14ac:dyDescent="0.2">
      <c r="A3" s="332"/>
      <c r="B3" s="332"/>
      <c r="C3" s="332"/>
      <c r="D3" s="332"/>
      <c r="E3" s="332"/>
      <c r="F3" s="332"/>
      <c r="G3" s="332"/>
      <c r="H3" s="333"/>
      <c r="I3" s="333"/>
      <c r="J3" s="334" t="s">
        <v>204</v>
      </c>
      <c r="K3" s="335" t="s">
        <v>651</v>
      </c>
      <c r="L3" s="336" t="s">
        <v>216</v>
      </c>
      <c r="M3" s="336" t="s">
        <v>217</v>
      </c>
      <c r="N3" s="336" t="s">
        <v>215</v>
      </c>
      <c r="O3" s="336" t="s">
        <v>652</v>
      </c>
      <c r="P3" s="335" t="s">
        <v>80</v>
      </c>
      <c r="Q3" s="336" t="s">
        <v>653</v>
      </c>
      <c r="R3" s="337" t="s">
        <v>224</v>
      </c>
      <c r="S3" s="335" t="s">
        <v>225</v>
      </c>
      <c r="T3" s="335" t="s">
        <v>220</v>
      </c>
      <c r="U3" s="335" t="s">
        <v>654</v>
      </c>
      <c r="V3" s="336" t="s">
        <v>222</v>
      </c>
      <c r="W3" s="336" t="s">
        <v>160</v>
      </c>
      <c r="X3" s="336"/>
      <c r="Y3" s="336" t="s">
        <v>655</v>
      </c>
      <c r="Z3" s="336" t="s">
        <v>656</v>
      </c>
      <c r="AA3" s="335" t="s">
        <v>657</v>
      </c>
      <c r="AB3" s="335" t="s">
        <v>658</v>
      </c>
      <c r="AC3" s="335" t="s">
        <v>659</v>
      </c>
      <c r="AD3" s="335" t="s">
        <v>660</v>
      </c>
      <c r="AE3" s="335" t="s">
        <v>661</v>
      </c>
      <c r="AF3" s="335" t="s">
        <v>662</v>
      </c>
      <c r="AG3" s="335" t="s">
        <v>663</v>
      </c>
      <c r="AH3" s="336" t="s">
        <v>664</v>
      </c>
      <c r="AI3" s="336" t="s">
        <v>665</v>
      </c>
      <c r="AJ3" s="336" t="s">
        <v>666</v>
      </c>
      <c r="AK3" s="336" t="s">
        <v>667</v>
      </c>
      <c r="AL3" s="336" t="s">
        <v>668</v>
      </c>
      <c r="AM3" s="336" t="s">
        <v>669</v>
      </c>
      <c r="AN3" s="336" t="s">
        <v>670</v>
      </c>
      <c r="AO3" s="336" t="s">
        <v>671</v>
      </c>
      <c r="AP3" s="336" t="s">
        <v>672</v>
      </c>
      <c r="AQ3" s="336" t="s">
        <v>673</v>
      </c>
      <c r="AR3" s="336" t="s">
        <v>674</v>
      </c>
      <c r="AS3" s="336" t="s">
        <v>675</v>
      </c>
      <c r="AT3" s="338" t="s">
        <v>676</v>
      </c>
      <c r="AU3" s="334" t="s">
        <v>204</v>
      </c>
      <c r="AV3" s="339" t="s">
        <v>677</v>
      </c>
      <c r="AW3" s="335" t="s">
        <v>678</v>
      </c>
      <c r="AX3" s="335" t="s">
        <v>679</v>
      </c>
      <c r="AY3" s="335" t="s">
        <v>680</v>
      </c>
      <c r="AZ3" s="335" t="s">
        <v>681</v>
      </c>
      <c r="BA3" s="335" t="s">
        <v>682</v>
      </c>
    </row>
    <row r="4" spans="1:53" ht="13.5" customHeight="1" x14ac:dyDescent="0.2">
      <c r="A4" s="340" t="s">
        <v>683</v>
      </c>
      <c r="B4" s="341"/>
      <c r="C4" s="342"/>
      <c r="D4" s="341"/>
      <c r="E4" s="343"/>
      <c r="F4" s="343"/>
      <c r="G4" s="343"/>
      <c r="H4" s="344"/>
      <c r="I4" s="333"/>
      <c r="J4" s="345" t="s">
        <v>205</v>
      </c>
      <c r="K4" s="335" t="s">
        <v>684</v>
      </c>
      <c r="L4" s="346">
        <v>2.5</v>
      </c>
      <c r="M4" s="346">
        <v>1.25</v>
      </c>
      <c r="N4" s="346">
        <v>39</v>
      </c>
      <c r="O4" s="346">
        <v>34.572000000000003</v>
      </c>
      <c r="P4" s="347">
        <v>1.5</v>
      </c>
      <c r="Q4" s="348">
        <v>0.3125</v>
      </c>
      <c r="R4" s="337">
        <f t="shared" ref="R4:R29" si="0">P4+2*Q4</f>
        <v>2.125</v>
      </c>
      <c r="S4" s="347">
        <f t="shared" ref="S4:S29" si="1">L4-R4</f>
        <v>0.375</v>
      </c>
      <c r="T4" s="347">
        <v>2</v>
      </c>
      <c r="U4" s="347">
        <v>6</v>
      </c>
      <c r="V4" s="348">
        <v>0.75</v>
      </c>
      <c r="W4" s="348"/>
      <c r="X4" s="348"/>
      <c r="Y4" s="348">
        <v>29.21875</v>
      </c>
      <c r="Z4" s="349">
        <v>0.59099999999999997</v>
      </c>
      <c r="AA4" s="347">
        <v>10.3125</v>
      </c>
      <c r="AB4" s="347">
        <v>0.28125</v>
      </c>
      <c r="AC4" s="350"/>
      <c r="AD4" s="347">
        <v>11.78125</v>
      </c>
      <c r="AE4" s="347">
        <v>0.34375</v>
      </c>
      <c r="AF4" s="350">
        <v>0.28999999999999998</v>
      </c>
      <c r="AG4" s="347">
        <v>13.25</v>
      </c>
      <c r="AH4" s="348">
        <v>0.40625</v>
      </c>
      <c r="AI4" s="349">
        <v>0.12</v>
      </c>
      <c r="AJ4" s="348">
        <v>16.6875</v>
      </c>
      <c r="AK4" s="348">
        <v>0.3125</v>
      </c>
      <c r="AL4" s="349">
        <v>0.3125</v>
      </c>
      <c r="AM4" s="348">
        <v>18.21875</v>
      </c>
      <c r="AN4" s="348">
        <v>0.34375</v>
      </c>
      <c r="AO4" s="349">
        <v>0.28999999999999998</v>
      </c>
      <c r="AP4" s="348">
        <v>19.71875</v>
      </c>
      <c r="AQ4" s="348">
        <v>0.390625</v>
      </c>
      <c r="AR4" s="349"/>
      <c r="AS4" s="349">
        <v>4.9977</v>
      </c>
      <c r="AT4" s="351">
        <v>6.0232999999999999</v>
      </c>
      <c r="AU4" s="345" t="s">
        <v>205</v>
      </c>
      <c r="AV4" s="339" t="s">
        <v>208</v>
      </c>
      <c r="AW4" s="335" t="s">
        <v>6</v>
      </c>
      <c r="AX4" s="335" t="s">
        <v>8</v>
      </c>
      <c r="AY4" s="335" t="s">
        <v>9</v>
      </c>
      <c r="AZ4" s="335" t="s">
        <v>240</v>
      </c>
      <c r="BA4" s="335" t="s">
        <v>13</v>
      </c>
    </row>
    <row r="5" spans="1:53" ht="15" customHeight="1" x14ac:dyDescent="0.2">
      <c r="A5" s="814" t="s">
        <v>685</v>
      </c>
      <c r="B5" s="815"/>
      <c r="C5" s="816"/>
      <c r="D5" s="352"/>
      <c r="E5" s="352"/>
      <c r="F5" s="352"/>
      <c r="G5" s="352"/>
      <c r="H5" s="333"/>
      <c r="I5" s="333"/>
      <c r="J5" s="345" t="s">
        <v>206</v>
      </c>
      <c r="K5" s="335" t="s">
        <v>686</v>
      </c>
      <c r="L5" s="346">
        <v>2.5</v>
      </c>
      <c r="M5" s="346">
        <v>1.25</v>
      </c>
      <c r="N5" s="346">
        <v>37</v>
      </c>
      <c r="O5" s="346">
        <v>32.631999999999998</v>
      </c>
      <c r="P5" s="347">
        <v>1.375</v>
      </c>
      <c r="Q5" s="348">
        <v>0.3125</v>
      </c>
      <c r="R5" s="337">
        <f t="shared" si="0"/>
        <v>2</v>
      </c>
      <c r="S5" s="347">
        <f t="shared" si="1"/>
        <v>0.5</v>
      </c>
      <c r="T5" s="347">
        <v>2</v>
      </c>
      <c r="U5" s="347">
        <v>6</v>
      </c>
      <c r="V5" s="348">
        <v>0.75</v>
      </c>
      <c r="W5" s="348"/>
      <c r="X5" s="348"/>
      <c r="Y5" s="348">
        <v>27.59375</v>
      </c>
      <c r="Z5" s="349">
        <v>0.56499999999999995</v>
      </c>
      <c r="AA5" s="347">
        <v>9.59375</v>
      </c>
      <c r="AB5" s="347">
        <v>0.28125</v>
      </c>
      <c r="AC5" s="350"/>
      <c r="AD5" s="335" t="s">
        <v>687</v>
      </c>
      <c r="AE5" s="347">
        <v>0.34375</v>
      </c>
      <c r="AF5" s="350">
        <v>0.28000000000000003</v>
      </c>
      <c r="AG5" s="347">
        <v>12.5</v>
      </c>
      <c r="AH5" s="348">
        <v>0.40625</v>
      </c>
      <c r="AI5" s="349">
        <v>0.12</v>
      </c>
      <c r="AJ5" s="348">
        <v>15.65625</v>
      </c>
      <c r="AK5" s="348">
        <v>0.3125</v>
      </c>
      <c r="AL5" s="349"/>
      <c r="AM5" s="348">
        <v>17.09375</v>
      </c>
      <c r="AN5" s="348">
        <v>0.34375</v>
      </c>
      <c r="AO5" s="349">
        <v>0.27300000000000002</v>
      </c>
      <c r="AP5" s="348">
        <v>18.5625</v>
      </c>
      <c r="AQ5" s="348">
        <v>0.390625</v>
      </c>
      <c r="AR5" s="349"/>
      <c r="AS5" s="349">
        <v>4.6699000000000002</v>
      </c>
      <c r="AT5" s="351">
        <v>5.6852</v>
      </c>
      <c r="AU5" s="345" t="s">
        <v>206</v>
      </c>
      <c r="AV5" s="339" t="s">
        <v>209</v>
      </c>
      <c r="AW5" s="335" t="s">
        <v>7</v>
      </c>
      <c r="AX5" s="335" t="s">
        <v>9</v>
      </c>
      <c r="AY5" s="335" t="s">
        <v>10</v>
      </c>
      <c r="AZ5" s="335" t="s">
        <v>12</v>
      </c>
      <c r="BA5" s="335" t="s">
        <v>14</v>
      </c>
    </row>
    <row r="6" spans="1:53" ht="18" customHeight="1" x14ac:dyDescent="0.25">
      <c r="A6" s="817" t="s">
        <v>688</v>
      </c>
      <c r="B6" s="818"/>
      <c r="C6" s="353" t="str">
        <f>LOOKUP($A$6,$K$4:$K$29,$AU$4:$AU$29)</f>
        <v>D 4</v>
      </c>
      <c r="D6" s="333"/>
      <c r="E6" s="333"/>
      <c r="F6" s="333"/>
      <c r="G6" s="333"/>
      <c r="H6" s="354" t="s">
        <v>689</v>
      </c>
      <c r="I6" s="354" t="s">
        <v>690</v>
      </c>
      <c r="J6" s="345" t="s">
        <v>207</v>
      </c>
      <c r="K6" s="335" t="s">
        <v>691</v>
      </c>
      <c r="L6" s="346">
        <v>2.25</v>
      </c>
      <c r="M6" s="346">
        <v>1.125</v>
      </c>
      <c r="N6" s="346">
        <v>36</v>
      </c>
      <c r="O6" s="346">
        <v>30.8</v>
      </c>
      <c r="P6" s="347">
        <v>1.25</v>
      </c>
      <c r="Q6" s="348">
        <v>0.25</v>
      </c>
      <c r="R6" s="337">
        <f t="shared" si="0"/>
        <v>1.75</v>
      </c>
      <c r="S6" s="347">
        <f t="shared" si="1"/>
        <v>0.5</v>
      </c>
      <c r="T6" s="347">
        <v>2</v>
      </c>
      <c r="U6" s="347">
        <v>5</v>
      </c>
      <c r="V6" s="348">
        <v>0.75</v>
      </c>
      <c r="W6" s="348"/>
      <c r="X6" s="348"/>
      <c r="Y6" s="348">
        <v>26.15625</v>
      </c>
      <c r="Z6" s="349">
        <v>0.54200000000000004</v>
      </c>
      <c r="AA6" s="347">
        <v>8.71875</v>
      </c>
      <c r="AB6" s="347">
        <v>0.28125</v>
      </c>
      <c r="AC6" s="350"/>
      <c r="AD6" s="347">
        <v>10.21875</v>
      </c>
      <c r="AE6" s="347">
        <v>0.328125</v>
      </c>
      <c r="AF6" s="350">
        <v>0.20499999999999999</v>
      </c>
      <c r="AG6" s="347">
        <v>11.71875</v>
      </c>
      <c r="AH6" s="348">
        <v>0.40625</v>
      </c>
      <c r="AI6" s="349">
        <v>0.1</v>
      </c>
      <c r="AJ6" s="348">
        <v>14.5</v>
      </c>
      <c r="AK6" s="348">
        <v>0.3125</v>
      </c>
      <c r="AL6" s="349"/>
      <c r="AM6" s="348">
        <v>15.96875</v>
      </c>
      <c r="AN6" s="348">
        <v>0.34375</v>
      </c>
      <c r="AO6" s="349">
        <v>0.23499999999999999</v>
      </c>
      <c r="AP6" s="348">
        <v>17.4375</v>
      </c>
      <c r="AQ6" s="348">
        <v>0.375</v>
      </c>
      <c r="AR6" s="349"/>
      <c r="AS6" s="349">
        <v>4.2797999999999998</v>
      </c>
      <c r="AT6" s="351">
        <v>5.3661000000000003</v>
      </c>
      <c r="AU6" s="345" t="s">
        <v>207</v>
      </c>
      <c r="AV6" s="339" t="s">
        <v>6</v>
      </c>
      <c r="AW6" s="335" t="s">
        <v>8</v>
      </c>
      <c r="AX6" s="335" t="s">
        <v>10</v>
      </c>
      <c r="AY6" s="335" t="s">
        <v>240</v>
      </c>
      <c r="AZ6" s="335" t="s">
        <v>13</v>
      </c>
      <c r="BA6" s="335" t="s">
        <v>15</v>
      </c>
    </row>
    <row r="7" spans="1:53" ht="13.5" customHeight="1" x14ac:dyDescent="0.2">
      <c r="A7" s="355" t="s">
        <v>692</v>
      </c>
      <c r="B7" s="356" t="s">
        <v>693</v>
      </c>
      <c r="C7" s="357" t="s">
        <v>226</v>
      </c>
      <c r="D7" s="358" t="s">
        <v>694</v>
      </c>
      <c r="E7" s="333"/>
      <c r="F7" s="333"/>
      <c r="G7" s="333"/>
      <c r="H7" s="359" t="s">
        <v>695</v>
      </c>
      <c r="I7" s="359" t="s">
        <v>695</v>
      </c>
      <c r="J7" s="345" t="s">
        <v>208</v>
      </c>
      <c r="K7" s="335" t="s">
        <v>696</v>
      </c>
      <c r="L7" s="346">
        <v>2.25</v>
      </c>
      <c r="M7" s="346">
        <v>1.125</v>
      </c>
      <c r="N7" s="346">
        <v>35</v>
      </c>
      <c r="O7" s="346">
        <v>29.071000000000002</v>
      </c>
      <c r="P7" s="347">
        <v>1.25</v>
      </c>
      <c r="Q7" s="348">
        <v>0.25</v>
      </c>
      <c r="R7" s="337">
        <f t="shared" si="0"/>
        <v>1.75</v>
      </c>
      <c r="S7" s="347">
        <f t="shared" si="1"/>
        <v>0.5</v>
      </c>
      <c r="T7" s="347">
        <v>2</v>
      </c>
      <c r="U7" s="347">
        <v>5</v>
      </c>
      <c r="V7" s="348">
        <v>0.75</v>
      </c>
      <c r="W7" s="348"/>
      <c r="X7" s="348"/>
      <c r="Y7" s="348">
        <v>24.6875</v>
      </c>
      <c r="Z7" s="349">
        <v>0.51700000000000002</v>
      </c>
      <c r="AA7" s="347">
        <v>8.21875</v>
      </c>
      <c r="AB7" s="347">
        <v>0.28125</v>
      </c>
      <c r="AC7" s="350"/>
      <c r="AD7" s="347">
        <v>9.65625</v>
      </c>
      <c r="AE7" s="347">
        <v>0.328125</v>
      </c>
      <c r="AF7" s="350">
        <v>0.21</v>
      </c>
      <c r="AG7" s="347">
        <v>11.125</v>
      </c>
      <c r="AH7" s="348">
        <v>0.40625</v>
      </c>
      <c r="AI7" s="349">
        <v>0.12</v>
      </c>
      <c r="AJ7" s="348">
        <v>13.65625</v>
      </c>
      <c r="AK7" s="348">
        <v>0.3125</v>
      </c>
      <c r="AL7" s="349"/>
      <c r="AM7" s="348">
        <v>15.03125</v>
      </c>
      <c r="AN7" s="348">
        <v>0.34375</v>
      </c>
      <c r="AO7" s="349">
        <v>0.23499999999999999</v>
      </c>
      <c r="AP7" s="348">
        <v>16.4375</v>
      </c>
      <c r="AQ7" s="348">
        <v>0.375</v>
      </c>
      <c r="AR7" s="349"/>
      <c r="AS7" s="349">
        <v>4.0397999999999996</v>
      </c>
      <c r="AT7" s="351">
        <v>5.0648999999999997</v>
      </c>
      <c r="AU7" s="345" t="s">
        <v>208</v>
      </c>
      <c r="AV7" s="339" t="s">
        <v>7</v>
      </c>
      <c r="AW7" s="335" t="s">
        <v>9</v>
      </c>
      <c r="AX7" s="335" t="s">
        <v>240</v>
      </c>
      <c r="AY7" s="335" t="s">
        <v>12</v>
      </c>
      <c r="AZ7" s="335" t="s">
        <v>14</v>
      </c>
      <c r="BA7" s="335" t="s">
        <v>16</v>
      </c>
    </row>
    <row r="8" spans="1:53" ht="13.5" customHeight="1" x14ac:dyDescent="0.2">
      <c r="A8" s="360"/>
      <c r="B8" s="361">
        <f>LOOKUP(A6,$K$4:$K$29,O4:O29)</f>
        <v>23.074000000000002</v>
      </c>
      <c r="C8" s="362">
        <v>0.1875</v>
      </c>
      <c r="D8" s="363">
        <v>0.875</v>
      </c>
      <c r="E8" s="344"/>
      <c r="F8" s="333"/>
      <c r="G8" s="333"/>
      <c r="H8" s="364">
        <f t="shared" ref="H8:I8" si="2">(($D$8/$B$15)^2)*((($E$15)*$B$15)+$C$15)</f>
        <v>2.4602153718296962</v>
      </c>
      <c r="I8" s="364">
        <f t="shared" si="2"/>
        <v>2.4602153718296962</v>
      </c>
      <c r="J8" s="345" t="s">
        <v>209</v>
      </c>
      <c r="K8" s="335" t="s">
        <v>697</v>
      </c>
      <c r="L8" s="346">
        <v>2</v>
      </c>
      <c r="M8" s="346">
        <v>1</v>
      </c>
      <c r="N8" s="346">
        <v>33</v>
      </c>
      <c r="O8" s="346">
        <v>27.44</v>
      </c>
      <c r="P8" s="347">
        <v>1.125</v>
      </c>
      <c r="Q8" s="348">
        <v>0.25</v>
      </c>
      <c r="R8" s="337">
        <f t="shared" si="0"/>
        <v>1.625</v>
      </c>
      <c r="S8" s="347">
        <f t="shared" si="1"/>
        <v>0.375</v>
      </c>
      <c r="T8" s="347">
        <v>2</v>
      </c>
      <c r="U8" s="347">
        <v>5</v>
      </c>
      <c r="V8" s="348">
        <v>0.75</v>
      </c>
      <c r="W8" s="348"/>
      <c r="X8" s="348"/>
      <c r="Y8" s="348">
        <v>23.28125</v>
      </c>
      <c r="Z8" s="349">
        <v>0.53600000000000003</v>
      </c>
      <c r="AA8" s="347">
        <v>7.71875</v>
      </c>
      <c r="AB8" s="347">
        <v>0.28125</v>
      </c>
      <c r="AC8" s="350"/>
      <c r="AD8" s="347">
        <v>9.21875</v>
      </c>
      <c r="AE8" s="347">
        <v>0.328125</v>
      </c>
      <c r="AF8" s="350">
        <v>0.24299999999999999</v>
      </c>
      <c r="AG8" s="347">
        <v>10.75</v>
      </c>
      <c r="AH8" s="348">
        <v>0.40625</v>
      </c>
      <c r="AI8" s="349">
        <v>0.2</v>
      </c>
      <c r="AJ8" s="348">
        <v>13.0625</v>
      </c>
      <c r="AK8" s="348">
        <v>0.296875</v>
      </c>
      <c r="AL8" s="349"/>
      <c r="AM8" s="348">
        <v>14.53125</v>
      </c>
      <c r="AN8" s="348">
        <v>0.3125</v>
      </c>
      <c r="AO8" s="349"/>
      <c r="AP8" s="348">
        <v>15.96875</v>
      </c>
      <c r="AQ8" s="348">
        <v>0.3125</v>
      </c>
      <c r="AR8" s="349"/>
      <c r="AS8" s="349">
        <v>3.8128000000000002</v>
      </c>
      <c r="AT8" s="351">
        <v>4.7807000000000004</v>
      </c>
      <c r="AU8" s="345" t="s">
        <v>209</v>
      </c>
      <c r="AV8" s="339" t="s">
        <v>8</v>
      </c>
      <c r="AW8" s="335" t="s">
        <v>10</v>
      </c>
      <c r="AX8" s="335" t="s">
        <v>12</v>
      </c>
      <c r="AY8" s="335" t="s">
        <v>13</v>
      </c>
      <c r="AZ8" s="335" t="s">
        <v>15</v>
      </c>
      <c r="BA8" s="335" t="s">
        <v>17</v>
      </c>
    </row>
    <row r="9" spans="1:53" ht="13.5" customHeight="1" x14ac:dyDescent="0.2">
      <c r="A9" s="333"/>
      <c r="B9" s="356" t="s">
        <v>698</v>
      </c>
      <c r="C9" s="356" t="s">
        <v>699</v>
      </c>
      <c r="D9" s="356" t="s">
        <v>700</v>
      </c>
      <c r="E9" s="365" t="s">
        <v>701</v>
      </c>
      <c r="F9" s="333"/>
      <c r="G9" s="333"/>
      <c r="H9" s="364">
        <f>($B$8-$H$8)/$B$18</f>
        <v>1.1452102571205725</v>
      </c>
      <c r="I9" s="364">
        <f>SQRT(($B$8-$I$8)/$B$25)</f>
        <v>0.99076172302811205</v>
      </c>
      <c r="J9" s="345" t="s">
        <v>6</v>
      </c>
      <c r="K9" s="335" t="s">
        <v>702</v>
      </c>
      <c r="L9" s="346">
        <v>2</v>
      </c>
      <c r="M9" s="346">
        <v>1</v>
      </c>
      <c r="N9" s="346">
        <v>31</v>
      </c>
      <c r="O9" s="346">
        <v>25.9</v>
      </c>
      <c r="P9" s="347">
        <v>1.125</v>
      </c>
      <c r="Q9" s="348">
        <v>0.25</v>
      </c>
      <c r="R9" s="337">
        <f t="shared" si="0"/>
        <v>1.625</v>
      </c>
      <c r="S9" s="347">
        <f t="shared" si="1"/>
        <v>0.375</v>
      </c>
      <c r="T9" s="347">
        <v>2</v>
      </c>
      <c r="U9" s="347">
        <v>5</v>
      </c>
      <c r="V9" s="348">
        <v>0.75</v>
      </c>
      <c r="W9" s="348"/>
      <c r="X9" s="348"/>
      <c r="Y9" s="348">
        <v>22.125</v>
      </c>
      <c r="Z9" s="349">
        <v>0.51300000000000001</v>
      </c>
      <c r="AA9" s="347">
        <v>7.09375</v>
      </c>
      <c r="AB9" s="347">
        <v>0.265625</v>
      </c>
      <c r="AC9" s="350"/>
      <c r="AD9" s="347">
        <v>8.59375</v>
      </c>
      <c r="AE9" s="347">
        <v>0.3125</v>
      </c>
      <c r="AF9" s="350"/>
      <c r="AG9" s="347">
        <v>10.09375</v>
      </c>
      <c r="AH9" s="348">
        <v>0.40625</v>
      </c>
      <c r="AI9" s="349"/>
      <c r="AJ9" s="348">
        <v>12</v>
      </c>
      <c r="AK9" s="348">
        <v>0.296875</v>
      </c>
      <c r="AL9" s="349"/>
      <c r="AM9" s="348">
        <v>13.40625</v>
      </c>
      <c r="AN9" s="348">
        <v>0.3125</v>
      </c>
      <c r="AO9" s="349"/>
      <c r="AP9" s="348">
        <v>14.8125</v>
      </c>
      <c r="AQ9" s="348">
        <v>0.3125</v>
      </c>
      <c r="AR9" s="349"/>
      <c r="AS9" s="349">
        <v>3.4638</v>
      </c>
      <c r="AT9" s="351">
        <v>4.5122999999999998</v>
      </c>
      <c r="AU9" s="345" t="s">
        <v>6</v>
      </c>
      <c r="AV9" s="339" t="s">
        <v>9</v>
      </c>
      <c r="AW9" s="335" t="s">
        <v>240</v>
      </c>
      <c r="AX9" s="335" t="s">
        <v>13</v>
      </c>
      <c r="AY9" s="335" t="s">
        <v>14</v>
      </c>
      <c r="AZ9" s="335" t="s">
        <v>16</v>
      </c>
      <c r="BA9" s="335" t="s">
        <v>18</v>
      </c>
    </row>
    <row r="10" spans="1:53" ht="13.5" customHeight="1" x14ac:dyDescent="0.2">
      <c r="A10" s="360"/>
      <c r="B10" s="363">
        <v>3.125E-2</v>
      </c>
      <c r="C10" s="363">
        <v>0.5</v>
      </c>
      <c r="D10" s="363">
        <v>0.1875</v>
      </c>
      <c r="E10" s="366">
        <f>$C$10</f>
        <v>0.5</v>
      </c>
      <c r="F10" s="344"/>
      <c r="G10" s="333"/>
      <c r="H10" s="364">
        <f>(($H$9/$B$15)^2)*((($E$15)*$B$15)+$C$15)</f>
        <v>4.2143197162795429</v>
      </c>
      <c r="I10" s="364">
        <f>(($I$9/$B$15)^2)*((($E$15)*$B$15)+$C$15)</f>
        <v>3.154245275105851</v>
      </c>
      <c r="J10" s="345" t="s">
        <v>7</v>
      </c>
      <c r="K10" s="335" t="s">
        <v>703</v>
      </c>
      <c r="L10" s="346">
        <v>2</v>
      </c>
      <c r="M10" s="346">
        <v>1</v>
      </c>
      <c r="N10" s="346">
        <v>29</v>
      </c>
      <c r="O10" s="346">
        <v>24.446000000000002</v>
      </c>
      <c r="P10" s="347">
        <v>1.125</v>
      </c>
      <c r="Q10" s="348">
        <v>0.25</v>
      </c>
      <c r="R10" s="337">
        <f t="shared" si="0"/>
        <v>1.625</v>
      </c>
      <c r="S10" s="347">
        <f t="shared" si="1"/>
        <v>0.375</v>
      </c>
      <c r="T10" s="347">
        <v>2</v>
      </c>
      <c r="U10" s="347">
        <v>5</v>
      </c>
      <c r="V10" s="348">
        <v>0.75</v>
      </c>
      <c r="W10" s="348"/>
      <c r="X10" s="348"/>
      <c r="Y10" s="348">
        <v>20.875</v>
      </c>
      <c r="Z10" s="349">
        <v>0.48899999999999999</v>
      </c>
      <c r="AA10" s="347">
        <v>6.5</v>
      </c>
      <c r="AB10" s="347">
        <v>0.28125</v>
      </c>
      <c r="AC10" s="350"/>
      <c r="AD10" s="347">
        <v>7.96875</v>
      </c>
      <c r="AE10" s="347">
        <v>0.328125</v>
      </c>
      <c r="AF10" s="350"/>
      <c r="AG10" s="347">
        <v>9.5</v>
      </c>
      <c r="AH10" s="348">
        <v>0.40625</v>
      </c>
      <c r="AI10" s="349"/>
      <c r="AJ10" s="348">
        <v>11.3125</v>
      </c>
      <c r="AK10" s="348">
        <v>0.296875</v>
      </c>
      <c r="AL10" s="349"/>
      <c r="AM10" s="348">
        <v>12.65625</v>
      </c>
      <c r="AN10" s="348">
        <v>0.3125</v>
      </c>
      <c r="AO10" s="349"/>
      <c r="AP10" s="348">
        <v>13.96875</v>
      </c>
      <c r="AQ10" s="348">
        <v>0.3125</v>
      </c>
      <c r="AR10" s="349"/>
      <c r="AS10" s="349">
        <v>3.2692999999999999</v>
      </c>
      <c r="AT10" s="351">
        <v>4.2591000000000001</v>
      </c>
      <c r="AU10" s="345" t="s">
        <v>7</v>
      </c>
      <c r="AV10" s="339" t="s">
        <v>10</v>
      </c>
      <c r="AW10" s="335" t="s">
        <v>12</v>
      </c>
      <c r="AX10" s="335" t="s">
        <v>14</v>
      </c>
      <c r="AY10" s="335" t="s">
        <v>15</v>
      </c>
      <c r="AZ10" s="335" t="s">
        <v>17</v>
      </c>
      <c r="BA10" s="335" t="s">
        <v>19</v>
      </c>
    </row>
    <row r="11" spans="1:53" ht="13.5" customHeight="1" x14ac:dyDescent="0.2">
      <c r="A11" s="335" t="s">
        <v>704</v>
      </c>
      <c r="B11" s="367" t="s">
        <v>705</v>
      </c>
      <c r="C11" s="367" t="s">
        <v>706</v>
      </c>
      <c r="D11" s="367" t="s">
        <v>707</v>
      </c>
      <c r="E11" s="352"/>
      <c r="F11" s="333"/>
      <c r="G11" s="333"/>
      <c r="H11" s="364">
        <f>($B$8-$H$10)/$B$18</f>
        <v>1.0477600157622478</v>
      </c>
      <c r="I11" s="364">
        <f>SQRT(($B$8-$I$10)/$B$25)</f>
        <v>0.97394032096657923</v>
      </c>
      <c r="J11" s="345" t="s">
        <v>8</v>
      </c>
      <c r="K11" s="335" t="s">
        <v>688</v>
      </c>
      <c r="L11" s="346">
        <v>1.75</v>
      </c>
      <c r="M11" s="346">
        <v>0.875</v>
      </c>
      <c r="N11" s="368">
        <v>28.75</v>
      </c>
      <c r="O11" s="346">
        <v>23.074000000000002</v>
      </c>
      <c r="P11" s="347">
        <v>1</v>
      </c>
      <c r="Q11" s="348">
        <v>0.1875</v>
      </c>
      <c r="R11" s="337">
        <f t="shared" si="0"/>
        <v>1.375</v>
      </c>
      <c r="S11" s="347">
        <f t="shared" si="1"/>
        <v>0.375</v>
      </c>
      <c r="T11" s="347">
        <v>2</v>
      </c>
      <c r="U11" s="347">
        <v>5</v>
      </c>
      <c r="V11" s="348">
        <v>0.75</v>
      </c>
      <c r="W11" s="348"/>
      <c r="X11" s="348"/>
      <c r="Y11" s="348">
        <v>19.6875</v>
      </c>
      <c r="Z11" s="349">
        <v>0.46700000000000003</v>
      </c>
      <c r="AA11" s="347">
        <v>6.28125</v>
      </c>
      <c r="AB11" s="347">
        <v>0.265625</v>
      </c>
      <c r="AC11" s="350"/>
      <c r="AD11" s="347">
        <v>7.625</v>
      </c>
      <c r="AE11" s="347">
        <v>0.3125</v>
      </c>
      <c r="AF11" s="350"/>
      <c r="AG11" s="347">
        <v>9.03125</v>
      </c>
      <c r="AH11" s="348">
        <v>0.390625</v>
      </c>
      <c r="AI11" s="349"/>
      <c r="AJ11" s="348">
        <v>10.65625</v>
      </c>
      <c r="AK11" s="348">
        <v>0.296875</v>
      </c>
      <c r="AL11" s="349"/>
      <c r="AM11" s="348">
        <v>11.9375</v>
      </c>
      <c r="AN11" s="348">
        <v>0.3125</v>
      </c>
      <c r="AO11" s="349"/>
      <c r="AP11" s="348">
        <v>13.15625</v>
      </c>
      <c r="AQ11" s="348">
        <v>0.3125</v>
      </c>
      <c r="AR11" s="349"/>
      <c r="AS11" s="349">
        <v>3.0857999999999999</v>
      </c>
      <c r="AT11" s="351">
        <v>4.0199999999999996</v>
      </c>
      <c r="AU11" s="345" t="s">
        <v>8</v>
      </c>
      <c r="AV11" s="339" t="s">
        <v>240</v>
      </c>
      <c r="AW11" s="335" t="s">
        <v>13</v>
      </c>
      <c r="AX11" s="335" t="s">
        <v>15</v>
      </c>
      <c r="AY11" s="335" t="s">
        <v>16</v>
      </c>
      <c r="AZ11" s="335" t="s">
        <v>18</v>
      </c>
      <c r="BA11" s="335" t="s">
        <v>20</v>
      </c>
    </row>
    <row r="12" spans="1:53" ht="13.5" customHeight="1" x14ac:dyDescent="0.2">
      <c r="A12" s="360"/>
      <c r="B12" s="363">
        <v>0.75</v>
      </c>
      <c r="C12" s="363">
        <v>4</v>
      </c>
      <c r="D12" s="363">
        <v>2</v>
      </c>
      <c r="E12" s="344"/>
      <c r="F12" s="333"/>
      <c r="G12" s="333"/>
      <c r="H12" s="364">
        <f>(($H$11/$B$15)^2)*((($E$15)*$B$15)+$C$15)</f>
        <v>3.527610801594744</v>
      </c>
      <c r="I12" s="364">
        <f>(($I$11/$B$15)^2)*((($E$15)*$B$15)+$C$15)</f>
        <v>3.0480473797325125</v>
      </c>
      <c r="J12" s="345" t="s">
        <v>9</v>
      </c>
      <c r="K12" s="335" t="s">
        <v>708</v>
      </c>
      <c r="L12" s="346">
        <v>1.75</v>
      </c>
      <c r="M12" s="346">
        <v>0.875</v>
      </c>
      <c r="N12" s="368">
        <v>27.5</v>
      </c>
      <c r="O12" s="346">
        <v>21.779</v>
      </c>
      <c r="P12" s="347">
        <v>1</v>
      </c>
      <c r="Q12" s="348">
        <v>0.1875</v>
      </c>
      <c r="R12" s="337">
        <f t="shared" si="0"/>
        <v>1.375</v>
      </c>
      <c r="S12" s="347">
        <f t="shared" si="1"/>
        <v>0.375</v>
      </c>
      <c r="T12" s="347">
        <v>2</v>
      </c>
      <c r="U12" s="347">
        <v>4.5</v>
      </c>
      <c r="V12" s="348">
        <v>0.75</v>
      </c>
      <c r="W12" s="348"/>
      <c r="X12" s="348"/>
      <c r="Y12" s="348">
        <v>18.5625</v>
      </c>
      <c r="Z12" s="349">
        <v>0.44600000000000001</v>
      </c>
      <c r="AA12" s="347">
        <v>6.125</v>
      </c>
      <c r="AB12" s="347">
        <v>0.25</v>
      </c>
      <c r="AC12" s="350"/>
      <c r="AD12" s="347">
        <v>7.5625</v>
      </c>
      <c r="AE12" s="347">
        <v>0.265625</v>
      </c>
      <c r="AF12" s="350"/>
      <c r="AG12" s="347">
        <v>8.90625</v>
      </c>
      <c r="AH12" s="348">
        <v>0.3125</v>
      </c>
      <c r="AI12" s="349"/>
      <c r="AJ12" s="348">
        <v>10.03125</v>
      </c>
      <c r="AK12" s="348">
        <v>0.296875</v>
      </c>
      <c r="AL12" s="349"/>
      <c r="AM12" s="348">
        <v>11.25</v>
      </c>
      <c r="AN12" s="348">
        <v>0.3125</v>
      </c>
      <c r="AO12" s="349"/>
      <c r="AP12" s="348">
        <v>12.40625</v>
      </c>
      <c r="AQ12" s="348">
        <v>0.3125</v>
      </c>
      <c r="AR12" s="349"/>
      <c r="AS12" s="349">
        <v>2.9127999999999998</v>
      </c>
      <c r="AT12" s="351">
        <v>3.7944</v>
      </c>
      <c r="AU12" s="345" t="s">
        <v>9</v>
      </c>
      <c r="AV12" s="339" t="s">
        <v>12</v>
      </c>
      <c r="AW12" s="335" t="s">
        <v>14</v>
      </c>
      <c r="AX12" s="335" t="s">
        <v>16</v>
      </c>
      <c r="AY12" s="335" t="s">
        <v>17</v>
      </c>
      <c r="AZ12" s="335" t="s">
        <v>19</v>
      </c>
      <c r="BA12" s="335" t="s">
        <v>35</v>
      </c>
    </row>
    <row r="13" spans="1:53" ht="13.5" customHeight="1" x14ac:dyDescent="0.2">
      <c r="A13" s="333"/>
      <c r="B13" s="352"/>
      <c r="C13" s="352"/>
      <c r="D13" s="352"/>
      <c r="E13" s="333"/>
      <c r="F13" s="333"/>
      <c r="G13" s="333"/>
      <c r="H13" s="364">
        <f>($B$8-$H$12)/$B$18</f>
        <v>1.0859105110225142</v>
      </c>
      <c r="I13" s="364">
        <f>SQRT(($B$8-$I$12)/$B$25)</f>
        <v>0.97653304677379404</v>
      </c>
      <c r="J13" s="345" t="s">
        <v>10</v>
      </c>
      <c r="K13" s="335" t="s">
        <v>709</v>
      </c>
      <c r="L13" s="346">
        <v>1.75</v>
      </c>
      <c r="M13" s="346">
        <v>0.875</v>
      </c>
      <c r="N13" s="368">
        <v>26.75</v>
      </c>
      <c r="O13" s="346">
        <v>20.556999999999999</v>
      </c>
      <c r="P13" s="347">
        <v>1</v>
      </c>
      <c r="Q13" s="348">
        <v>0.1875</v>
      </c>
      <c r="R13" s="337">
        <f t="shared" si="0"/>
        <v>1.375</v>
      </c>
      <c r="S13" s="347">
        <f t="shared" si="1"/>
        <v>0.375</v>
      </c>
      <c r="T13" s="347">
        <v>2</v>
      </c>
      <c r="U13" s="347">
        <v>4.5</v>
      </c>
      <c r="V13" s="348">
        <v>0.75</v>
      </c>
      <c r="W13" s="348"/>
      <c r="X13" s="348"/>
      <c r="Y13" s="348">
        <v>17.53125</v>
      </c>
      <c r="Z13" s="349">
        <v>0.46800000000000003</v>
      </c>
      <c r="AA13" s="347">
        <v>5.75</v>
      </c>
      <c r="AB13" s="347">
        <v>0.25</v>
      </c>
      <c r="AC13" s="350"/>
      <c r="AD13" s="347">
        <v>7.125</v>
      </c>
      <c r="AE13" s="347">
        <v>0.265625</v>
      </c>
      <c r="AF13" s="350"/>
      <c r="AG13" s="347">
        <v>8.40625</v>
      </c>
      <c r="AH13" s="348">
        <v>0.3125</v>
      </c>
      <c r="AI13" s="349"/>
      <c r="AJ13" s="348">
        <v>9.46875</v>
      </c>
      <c r="AK13" s="348">
        <v>0.296875</v>
      </c>
      <c r="AL13" s="349"/>
      <c r="AM13" s="348">
        <v>10.59375</v>
      </c>
      <c r="AN13" s="348">
        <v>0.3125</v>
      </c>
      <c r="AO13" s="349"/>
      <c r="AP13" s="348">
        <v>11.6875</v>
      </c>
      <c r="AQ13" s="348">
        <v>0.3125</v>
      </c>
      <c r="AR13" s="349"/>
      <c r="AS13" s="349">
        <v>2.7494000000000001</v>
      </c>
      <c r="AT13" s="351">
        <v>3.5815000000000001</v>
      </c>
      <c r="AU13" s="345" t="s">
        <v>10</v>
      </c>
      <c r="AV13" s="339" t="s">
        <v>13</v>
      </c>
      <c r="AW13" s="335" t="s">
        <v>15</v>
      </c>
      <c r="AX13" s="335" t="s">
        <v>17</v>
      </c>
      <c r="AY13" s="335" t="s">
        <v>18</v>
      </c>
      <c r="AZ13" s="335" t="s">
        <v>20</v>
      </c>
      <c r="BA13" s="335" t="s">
        <v>210</v>
      </c>
    </row>
    <row r="14" spans="1:53" ht="13.5" customHeight="1" x14ac:dyDescent="0.2">
      <c r="A14" s="333"/>
      <c r="B14" s="369" t="s">
        <v>710</v>
      </c>
      <c r="C14" s="357" t="s">
        <v>711</v>
      </c>
      <c r="D14" s="365" t="s">
        <v>712</v>
      </c>
      <c r="E14" s="370" t="s">
        <v>713</v>
      </c>
      <c r="F14" s="370" t="s">
        <v>714</v>
      </c>
      <c r="G14" s="371" t="s">
        <v>715</v>
      </c>
      <c r="H14" s="364">
        <f>(($H$13/$B$15)^2)*((($E$15)*$B$15)+$C$15)</f>
        <v>3.7891787705068705</v>
      </c>
      <c r="I14" s="364">
        <f>(($I$13/$B$15)^2)*((($E$15)*$B$15)+$C$15)</f>
        <v>3.0642973898956036</v>
      </c>
      <c r="J14" s="345" t="s">
        <v>240</v>
      </c>
      <c r="K14" s="335" t="s">
        <v>716</v>
      </c>
      <c r="L14" s="368">
        <v>1.5</v>
      </c>
      <c r="M14" s="368">
        <v>0.75</v>
      </c>
      <c r="N14" s="368">
        <v>25</v>
      </c>
      <c r="O14" s="346">
        <v>19.402999999999999</v>
      </c>
      <c r="P14" s="333">
        <v>0.875</v>
      </c>
      <c r="Q14" s="348">
        <v>0.1875</v>
      </c>
      <c r="R14" s="337">
        <f t="shared" si="0"/>
        <v>1.25</v>
      </c>
      <c r="S14" s="347">
        <f t="shared" si="1"/>
        <v>0.25</v>
      </c>
      <c r="T14" s="347">
        <v>2</v>
      </c>
      <c r="U14" s="347">
        <v>4</v>
      </c>
      <c r="V14" s="348">
        <v>0.75</v>
      </c>
      <c r="W14" s="346">
        <v>16.385999999999999</v>
      </c>
      <c r="X14" s="348"/>
      <c r="Y14" s="348">
        <v>16.34375</v>
      </c>
      <c r="Z14" s="349">
        <v>0.4375</v>
      </c>
      <c r="AA14" s="347">
        <v>5</v>
      </c>
      <c r="AB14" s="347">
        <v>0.1875</v>
      </c>
      <c r="AC14" s="350"/>
      <c r="AD14" s="347">
        <v>6.5</v>
      </c>
      <c r="AE14" s="347">
        <v>0.1875</v>
      </c>
      <c r="AF14" s="350"/>
      <c r="AG14" s="347">
        <v>8.03125</v>
      </c>
      <c r="AH14" s="348">
        <v>0.1875</v>
      </c>
      <c r="AI14" s="349"/>
      <c r="AJ14" s="348">
        <v>9.0625</v>
      </c>
      <c r="AK14" s="348">
        <v>0.1875</v>
      </c>
      <c r="AL14" s="349"/>
      <c r="AM14" s="348">
        <v>10.09375</v>
      </c>
      <c r="AN14" s="348">
        <v>0.1875</v>
      </c>
      <c r="AO14" s="349"/>
      <c r="AP14" s="348">
        <v>11.125</v>
      </c>
      <c r="AQ14" s="348">
        <v>0.1875</v>
      </c>
      <c r="AR14" s="349"/>
      <c r="AS14" s="349"/>
      <c r="AT14" s="351"/>
      <c r="AU14" s="345" t="s">
        <v>240</v>
      </c>
      <c r="AV14" s="339" t="s">
        <v>14</v>
      </c>
      <c r="AW14" s="335" t="s">
        <v>16</v>
      </c>
      <c r="AX14" s="335" t="s">
        <v>18</v>
      </c>
      <c r="AY14" s="335" t="s">
        <v>19</v>
      </c>
      <c r="AZ14" s="335" t="s">
        <v>35</v>
      </c>
      <c r="BA14" s="335" t="s">
        <v>211</v>
      </c>
    </row>
    <row r="15" spans="1:53" ht="13.5" customHeight="1" x14ac:dyDescent="0.2">
      <c r="A15" s="360"/>
      <c r="B15" s="372">
        <f>2*SQRT(($D$10*$E$10)/PI())</f>
        <v>0.3454941494713355</v>
      </c>
      <c r="C15" s="372">
        <f>(($B$10*$F$15)+($C$8*$G$15)-$B$10)/4</f>
        <v>3.5997395833333334E-2</v>
      </c>
      <c r="D15" s="372">
        <f>($B$8/4)/1.2-($B$20*0.25)</f>
        <v>4.5382303776853901</v>
      </c>
      <c r="E15" s="373">
        <v>1.006</v>
      </c>
      <c r="F15" s="374">
        <v>0.66666666666666696</v>
      </c>
      <c r="G15" s="375">
        <v>0.82350000000000001</v>
      </c>
      <c r="H15" s="376">
        <f>($B$8-$H$14)/$B$18</f>
        <v>1.0713789571940628</v>
      </c>
      <c r="I15" s="364">
        <f>SQRT(($B$8-$I$14)/$B$25)</f>
        <v>0.97613676369325564</v>
      </c>
      <c r="J15" s="345" t="s">
        <v>12</v>
      </c>
      <c r="K15" s="335" t="s">
        <v>717</v>
      </c>
      <c r="L15" s="346">
        <v>1.5</v>
      </c>
      <c r="M15" s="346">
        <v>0.75</v>
      </c>
      <c r="N15" s="346">
        <v>24</v>
      </c>
      <c r="O15" s="346">
        <v>18.314</v>
      </c>
      <c r="P15" s="333">
        <v>0.875</v>
      </c>
      <c r="Q15" s="348">
        <v>0.1875</v>
      </c>
      <c r="R15" s="337">
        <f t="shared" si="0"/>
        <v>1.25</v>
      </c>
      <c r="S15" s="347">
        <f t="shared" si="1"/>
        <v>0.25</v>
      </c>
      <c r="T15" s="347">
        <v>2</v>
      </c>
      <c r="U15" s="347">
        <v>4</v>
      </c>
      <c r="V15" s="348">
        <v>0.75</v>
      </c>
      <c r="W15" s="348"/>
      <c r="X15" s="348"/>
      <c r="Y15" s="348">
        <v>15.25</v>
      </c>
      <c r="Z15" s="349">
        <v>0.4375</v>
      </c>
      <c r="AA15" s="347">
        <v>4.78125</v>
      </c>
      <c r="AB15" s="347">
        <v>0.1875</v>
      </c>
      <c r="AC15" s="350"/>
      <c r="AD15" s="347">
        <v>6.1875</v>
      </c>
      <c r="AE15" s="347">
        <v>0.1875</v>
      </c>
      <c r="AF15" s="350"/>
      <c r="AG15" s="347">
        <v>7.625</v>
      </c>
      <c r="AH15" s="348">
        <v>0.1875</v>
      </c>
      <c r="AI15" s="349"/>
      <c r="AJ15" s="348">
        <v>8.625</v>
      </c>
      <c r="AK15" s="348">
        <v>0.1875</v>
      </c>
      <c r="AL15" s="349"/>
      <c r="AM15" s="348">
        <v>9.59375</v>
      </c>
      <c r="AN15" s="348">
        <v>0.1875</v>
      </c>
      <c r="AO15" s="349"/>
      <c r="AP15" s="348">
        <v>10.5625</v>
      </c>
      <c r="AQ15" s="348">
        <v>0.1875</v>
      </c>
      <c r="AR15" s="349"/>
      <c r="AS15" s="349"/>
      <c r="AT15" s="351"/>
      <c r="AU15" s="345" t="s">
        <v>12</v>
      </c>
      <c r="AV15" s="339" t="s">
        <v>15</v>
      </c>
      <c r="AW15" s="335" t="s">
        <v>17</v>
      </c>
      <c r="AX15" s="335" t="s">
        <v>19</v>
      </c>
      <c r="AY15" s="335" t="s">
        <v>20</v>
      </c>
      <c r="AZ15" s="335" t="s">
        <v>210</v>
      </c>
      <c r="BA15" s="335" t="s">
        <v>45</v>
      </c>
    </row>
    <row r="16" spans="1:53" ht="13.5" customHeight="1" x14ac:dyDescent="0.2">
      <c r="A16" s="333"/>
      <c r="B16" s="352"/>
      <c r="C16" s="352"/>
      <c r="D16" s="352"/>
      <c r="E16" s="352"/>
      <c r="F16" s="352"/>
      <c r="G16" s="352"/>
      <c r="H16" s="364">
        <f>(($H$15/$B$15)^2)*((($E$15)*$B$15)+$C$15)</f>
        <v>3.6884444410405619</v>
      </c>
      <c r="I16" s="364">
        <f>(($I$15/$B$15)^2)*((($E$15)*$B$15)+$C$15)</f>
        <v>3.0618108732902392</v>
      </c>
      <c r="J16" s="345" t="s">
        <v>13</v>
      </c>
      <c r="K16" s="335" t="s">
        <v>718</v>
      </c>
      <c r="L16" s="368">
        <v>1.5</v>
      </c>
      <c r="M16" s="368">
        <v>0.75</v>
      </c>
      <c r="N16" s="368">
        <v>23</v>
      </c>
      <c r="O16" s="346">
        <v>17.286000000000001</v>
      </c>
      <c r="P16" s="333">
        <v>0.875</v>
      </c>
      <c r="Q16" s="348">
        <v>0.1875</v>
      </c>
      <c r="R16" s="337">
        <f t="shared" si="0"/>
        <v>1.25</v>
      </c>
      <c r="S16" s="347">
        <f t="shared" si="1"/>
        <v>0.25</v>
      </c>
      <c r="T16" s="347">
        <v>2</v>
      </c>
      <c r="U16" s="347">
        <v>4</v>
      </c>
      <c r="V16" s="348">
        <v>0.75</v>
      </c>
      <c r="W16" s="346">
        <v>14.259</v>
      </c>
      <c r="X16" s="348"/>
      <c r="Y16" s="348">
        <v>14.21875</v>
      </c>
      <c r="Z16" s="349">
        <v>0.4375</v>
      </c>
      <c r="AA16" s="347">
        <v>4.59375</v>
      </c>
      <c r="AB16" s="347">
        <v>0.1875</v>
      </c>
      <c r="AC16" s="350"/>
      <c r="AD16" s="347">
        <v>5.90625</v>
      </c>
      <c r="AE16" s="347">
        <v>0.1875</v>
      </c>
      <c r="AF16" s="350"/>
      <c r="AG16" s="347">
        <v>7.28125</v>
      </c>
      <c r="AH16" s="348">
        <v>0.1875</v>
      </c>
      <c r="AI16" s="349"/>
      <c r="AJ16" s="348">
        <v>8.1875</v>
      </c>
      <c r="AK16" s="348">
        <v>0.1875</v>
      </c>
      <c r="AL16" s="349"/>
      <c r="AM16" s="348">
        <v>9.09375</v>
      </c>
      <c r="AN16" s="348">
        <v>0.1875</v>
      </c>
      <c r="AO16" s="349"/>
      <c r="AP16" s="348">
        <v>10.03125</v>
      </c>
      <c r="AQ16" s="348">
        <v>0.1875</v>
      </c>
      <c r="AR16" s="349"/>
      <c r="AS16" s="349"/>
      <c r="AT16" s="351"/>
      <c r="AU16" s="345" t="s">
        <v>13</v>
      </c>
      <c r="AV16" s="339" t="s">
        <v>16</v>
      </c>
      <c r="AW16" s="335" t="s">
        <v>18</v>
      </c>
      <c r="AX16" s="335" t="s">
        <v>20</v>
      </c>
      <c r="AY16" s="335" t="s">
        <v>35</v>
      </c>
      <c r="AZ16" s="335" t="s">
        <v>211</v>
      </c>
      <c r="BA16" s="335" t="s">
        <v>212</v>
      </c>
    </row>
    <row r="17" spans="1:53" ht="13.5" customHeight="1" x14ac:dyDescent="0.2">
      <c r="A17" s="377" t="s">
        <v>719</v>
      </c>
      <c r="B17" s="378"/>
      <c r="C17" s="379"/>
      <c r="D17" s="379"/>
      <c r="E17" s="379"/>
      <c r="F17" s="354" t="s">
        <v>720</v>
      </c>
      <c r="G17" s="380">
        <f>PI()*($D$8/2)*($D$8/2)</f>
        <v>0.6013204688511713</v>
      </c>
      <c r="H17" s="364">
        <f>($B$8-$H$16)/$B$18</f>
        <v>1.0769753088310798</v>
      </c>
      <c r="I17" s="364">
        <f>SQRT(($B$8-$I$16)/$B$25)</f>
        <v>0.97619741189278886</v>
      </c>
      <c r="J17" s="345" t="s">
        <v>14</v>
      </c>
      <c r="K17" s="335" t="s">
        <v>721</v>
      </c>
      <c r="L17" s="346">
        <v>1.5</v>
      </c>
      <c r="M17" s="346">
        <v>0.75</v>
      </c>
      <c r="N17" s="346">
        <v>22</v>
      </c>
      <c r="O17" s="346">
        <v>16.315999999999999</v>
      </c>
      <c r="P17" s="333">
        <v>0.75</v>
      </c>
      <c r="Q17" s="348">
        <v>0.1875</v>
      </c>
      <c r="R17" s="337">
        <f t="shared" si="0"/>
        <v>1.125</v>
      </c>
      <c r="S17" s="347">
        <f t="shared" si="1"/>
        <v>0.375</v>
      </c>
      <c r="T17" s="347">
        <v>2</v>
      </c>
      <c r="U17" s="347">
        <v>3</v>
      </c>
      <c r="V17" s="348">
        <v>0.75</v>
      </c>
      <c r="W17" s="348"/>
      <c r="X17" s="348"/>
      <c r="Y17" s="348">
        <v>13.25</v>
      </c>
      <c r="Z17" s="349">
        <v>0.4375</v>
      </c>
      <c r="AA17" s="347">
        <v>4.4375</v>
      </c>
      <c r="AB17" s="347">
        <v>0.1875</v>
      </c>
      <c r="AC17" s="350"/>
      <c r="AD17" s="347">
        <v>5.625</v>
      </c>
      <c r="AE17" s="347">
        <v>0.1875</v>
      </c>
      <c r="AF17" s="350"/>
      <c r="AG17" s="347">
        <v>6.90625</v>
      </c>
      <c r="AH17" s="348">
        <v>0.1875</v>
      </c>
      <c r="AI17" s="349"/>
      <c r="AJ17" s="348">
        <v>7.78125</v>
      </c>
      <c r="AK17" s="348">
        <v>0.1875</v>
      </c>
      <c r="AL17" s="349"/>
      <c r="AM17" s="348">
        <v>8.65625</v>
      </c>
      <c r="AN17" s="348">
        <v>0.1875</v>
      </c>
      <c r="AO17" s="349"/>
      <c r="AP17" s="348">
        <v>9.5</v>
      </c>
      <c r="AQ17" s="348">
        <v>0.1875</v>
      </c>
      <c r="AR17" s="349"/>
      <c r="AS17" s="349"/>
      <c r="AT17" s="351"/>
      <c r="AU17" s="345" t="s">
        <v>14</v>
      </c>
      <c r="AV17" s="339" t="s">
        <v>17</v>
      </c>
      <c r="AW17" s="335" t="s">
        <v>19</v>
      </c>
      <c r="AX17" s="335" t="s">
        <v>35</v>
      </c>
      <c r="AY17" s="335" t="s">
        <v>210</v>
      </c>
      <c r="AZ17" s="335" t="s">
        <v>45</v>
      </c>
      <c r="BA17" s="335" t="s">
        <v>213</v>
      </c>
    </row>
    <row r="18" spans="1:53" ht="13.5" customHeight="1" x14ac:dyDescent="0.2">
      <c r="A18" s="381" t="s">
        <v>722</v>
      </c>
      <c r="B18" s="382">
        <v>18</v>
      </c>
      <c r="C18" s="344"/>
      <c r="D18" s="333"/>
      <c r="E18" s="333"/>
      <c r="F18" s="354" t="s">
        <v>723</v>
      </c>
      <c r="G18" s="383">
        <f>PI()*($B$20/2)*($B$20/2)</f>
        <v>0.90832129189855049</v>
      </c>
      <c r="H18" s="364">
        <f>(($H$17/$B$15)^2)*((($E$15)*$B$15)+$C$15)</f>
        <v>3.7270782844380763</v>
      </c>
      <c r="I18" s="364">
        <f>(($I$17/$B$15)^2)*((($E$15)*$B$15)+$C$15)</f>
        <v>3.0621913508878964</v>
      </c>
      <c r="J18" s="345" t="s">
        <v>15</v>
      </c>
      <c r="K18" s="335" t="s">
        <v>724</v>
      </c>
      <c r="L18" s="368">
        <v>1.5</v>
      </c>
      <c r="M18" s="368">
        <v>0.75</v>
      </c>
      <c r="N18" s="368">
        <v>21.5</v>
      </c>
      <c r="O18" s="346">
        <v>15.4</v>
      </c>
      <c r="P18" s="333">
        <v>0.75</v>
      </c>
      <c r="Q18" s="348">
        <v>0.1875</v>
      </c>
      <c r="R18" s="337">
        <f t="shared" si="0"/>
        <v>1.125</v>
      </c>
      <c r="S18" s="347">
        <f t="shared" si="1"/>
        <v>0.375</v>
      </c>
      <c r="T18" s="347">
        <v>2</v>
      </c>
      <c r="U18" s="347">
        <v>3</v>
      </c>
      <c r="V18" s="348">
        <v>0.75</v>
      </c>
      <c r="W18" s="346">
        <v>13.253</v>
      </c>
      <c r="X18" s="348"/>
      <c r="Y18" s="348">
        <v>12.3125</v>
      </c>
      <c r="Z18" s="349">
        <v>0.4375</v>
      </c>
      <c r="AA18" s="347">
        <v>4.25</v>
      </c>
      <c r="AB18" s="347">
        <v>0.1875</v>
      </c>
      <c r="AC18" s="350"/>
      <c r="AD18" s="347">
        <v>5.375</v>
      </c>
      <c r="AE18" s="347">
        <v>0.1875</v>
      </c>
      <c r="AF18" s="350"/>
      <c r="AG18" s="347">
        <v>6.59375</v>
      </c>
      <c r="AH18" s="348">
        <v>0.1875</v>
      </c>
      <c r="AI18" s="349"/>
      <c r="AJ18" s="348">
        <v>7.40625</v>
      </c>
      <c r="AK18" s="348">
        <v>0.1875</v>
      </c>
      <c r="AL18" s="349"/>
      <c r="AM18" s="348">
        <v>8.21875</v>
      </c>
      <c r="AN18" s="348">
        <v>0.1875</v>
      </c>
      <c r="AO18" s="349"/>
      <c r="AP18" s="348">
        <v>9.03125</v>
      </c>
      <c r="AQ18" s="348">
        <v>0.1875</v>
      </c>
      <c r="AR18" s="349"/>
      <c r="AS18" s="349"/>
      <c r="AT18" s="351"/>
      <c r="AU18" s="345" t="s">
        <v>15</v>
      </c>
      <c r="AV18" s="339" t="s">
        <v>18</v>
      </c>
      <c r="AW18" s="335" t="s">
        <v>20</v>
      </c>
      <c r="AX18" s="335" t="s">
        <v>210</v>
      </c>
      <c r="AY18" s="335" t="s">
        <v>211</v>
      </c>
      <c r="AZ18" s="335" t="s">
        <v>212</v>
      </c>
      <c r="BA18" s="335" t="s">
        <v>725</v>
      </c>
    </row>
    <row r="19" spans="1:53" ht="13.5" customHeight="1" x14ac:dyDescent="0.2">
      <c r="A19" s="333"/>
      <c r="B19" s="367" t="s">
        <v>726</v>
      </c>
      <c r="C19" s="365" t="s">
        <v>727</v>
      </c>
      <c r="D19" s="357" t="s">
        <v>728</v>
      </c>
      <c r="E19" s="365" t="s">
        <v>729</v>
      </c>
      <c r="F19" s="365" t="s">
        <v>730</v>
      </c>
      <c r="G19" s="365" t="s">
        <v>731</v>
      </c>
      <c r="H19" s="364">
        <f>($B$8-$H$18)/$B$18</f>
        <v>1.0748289841978849</v>
      </c>
      <c r="I19" s="364">
        <f>SQRT(($B$8-$I$18)/$B$25)</f>
        <v>0.97618813197320642</v>
      </c>
      <c r="J19" s="345" t="s">
        <v>16</v>
      </c>
      <c r="K19" s="335" t="s">
        <v>732</v>
      </c>
      <c r="L19" s="346">
        <v>1.5</v>
      </c>
      <c r="M19" s="346">
        <v>0.75</v>
      </c>
      <c r="N19" s="346">
        <v>18</v>
      </c>
      <c r="O19" s="346">
        <v>14.536</v>
      </c>
      <c r="P19" s="333">
        <v>0.75</v>
      </c>
      <c r="Q19" s="348">
        <v>0.1875</v>
      </c>
      <c r="R19" s="337">
        <f t="shared" si="0"/>
        <v>1.125</v>
      </c>
      <c r="S19" s="347">
        <f t="shared" si="1"/>
        <v>0.375</v>
      </c>
      <c r="T19" s="347">
        <v>2</v>
      </c>
      <c r="U19" s="347">
        <v>3</v>
      </c>
      <c r="V19" s="348">
        <v>0.75</v>
      </c>
      <c r="W19" s="348"/>
      <c r="X19" s="348"/>
      <c r="Y19" s="348"/>
      <c r="Z19" s="349"/>
      <c r="AA19" s="347"/>
      <c r="AB19" s="347"/>
      <c r="AC19" s="350"/>
      <c r="AD19" s="347"/>
      <c r="AE19" s="347"/>
      <c r="AF19" s="350"/>
      <c r="AG19" s="347"/>
      <c r="AH19" s="348"/>
      <c r="AI19" s="349"/>
      <c r="AJ19" s="348"/>
      <c r="AK19" s="348"/>
      <c r="AL19" s="349"/>
      <c r="AM19" s="348"/>
      <c r="AN19" s="348"/>
      <c r="AO19" s="349"/>
      <c r="AP19" s="348"/>
      <c r="AQ19" s="348"/>
      <c r="AR19" s="349"/>
      <c r="AS19" s="349"/>
      <c r="AT19" s="351"/>
      <c r="AU19" s="345" t="s">
        <v>16</v>
      </c>
      <c r="AV19" s="339" t="s">
        <v>19</v>
      </c>
      <c r="AW19" s="335" t="s">
        <v>35</v>
      </c>
      <c r="AX19" s="335" t="s">
        <v>211</v>
      </c>
      <c r="AY19" s="335" t="s">
        <v>45</v>
      </c>
      <c r="AZ19" s="335" t="s">
        <v>213</v>
      </c>
      <c r="BA19" s="335" t="s">
        <v>53</v>
      </c>
    </row>
    <row r="20" spans="1:53" ht="13.5" customHeight="1" x14ac:dyDescent="0.2">
      <c r="A20" s="360"/>
      <c r="B20" s="372">
        <f>($B$8-$H$26)/$B$18</f>
        <v>1.0754118225917759</v>
      </c>
      <c r="C20" s="384">
        <f>$B$8-$E$20-$F$20</f>
        <v>18.996312009181498</v>
      </c>
      <c r="D20" s="372">
        <f>C20+$B$20/6</f>
        <v>19.175547312946794</v>
      </c>
      <c r="E20" s="372">
        <f>$B$20*(0.411-((0.065)/((0.42+(2*$C$8/$B$20))^0.54)))</f>
        <v>0.36142333553681444</v>
      </c>
      <c r="F20" s="372">
        <f>(($B$20/$B$15)^2)*(($E$15*$B$15)+$C$15)</f>
        <v>3.71626465528169</v>
      </c>
      <c r="G20" s="361">
        <f>($C$22*2)/$D$8</f>
        <v>1.4009806668373932</v>
      </c>
      <c r="H20" s="376">
        <f>(($H$19/$B$15)^2)*((($E$15)*$B$15)+$C$15)</f>
        <v>3.7122375565805568</v>
      </c>
      <c r="I20" s="364">
        <f>(($I$19/$B$15)^2)*((($E$15)*$B$15)+$C$15)</f>
        <v>3.0621331316095652</v>
      </c>
      <c r="J20" s="345" t="s">
        <v>17</v>
      </c>
      <c r="K20" s="335" t="s">
        <v>733</v>
      </c>
      <c r="L20" s="346">
        <v>1.5</v>
      </c>
      <c r="M20" s="346">
        <v>0.75</v>
      </c>
      <c r="N20" s="346">
        <v>17</v>
      </c>
      <c r="O20" s="346">
        <v>13.72</v>
      </c>
      <c r="P20" s="333">
        <v>0.75</v>
      </c>
      <c r="Q20" s="348">
        <v>0.1875</v>
      </c>
      <c r="R20" s="337">
        <f t="shared" si="0"/>
        <v>1.125</v>
      </c>
      <c r="S20" s="347">
        <f t="shared" si="1"/>
        <v>0.375</v>
      </c>
      <c r="T20" s="347">
        <v>2</v>
      </c>
      <c r="U20" s="347">
        <v>3</v>
      </c>
      <c r="V20" s="348">
        <v>0.75</v>
      </c>
      <c r="W20" s="348"/>
      <c r="X20" s="348"/>
      <c r="Y20" s="348"/>
      <c r="Z20" s="349"/>
      <c r="AA20" s="347"/>
      <c r="AB20" s="347"/>
      <c r="AC20" s="350"/>
      <c r="AD20" s="347"/>
      <c r="AE20" s="347"/>
      <c r="AF20" s="350"/>
      <c r="AG20" s="347"/>
      <c r="AH20" s="348"/>
      <c r="AI20" s="349"/>
      <c r="AJ20" s="348"/>
      <c r="AK20" s="348"/>
      <c r="AL20" s="349"/>
      <c r="AM20" s="348"/>
      <c r="AN20" s="348"/>
      <c r="AO20" s="349"/>
      <c r="AP20" s="348"/>
      <c r="AQ20" s="348"/>
      <c r="AR20" s="349"/>
      <c r="AS20" s="349"/>
      <c r="AT20" s="351"/>
      <c r="AU20" s="345" t="s">
        <v>17</v>
      </c>
      <c r="AV20" s="339" t="s">
        <v>20</v>
      </c>
      <c r="AW20" s="335" t="s">
        <v>210</v>
      </c>
      <c r="AX20" s="335" t="s">
        <v>45</v>
      </c>
      <c r="AY20" s="335" t="s">
        <v>212</v>
      </c>
      <c r="AZ20" s="335" t="s">
        <v>725</v>
      </c>
      <c r="BA20" s="335" t="s">
        <v>734</v>
      </c>
    </row>
    <row r="21" spans="1:53" ht="13.5" customHeight="1" x14ac:dyDescent="0.2">
      <c r="A21" s="333"/>
      <c r="B21" s="352"/>
      <c r="C21" s="356" t="s">
        <v>735</v>
      </c>
      <c r="D21" s="367" t="s">
        <v>217</v>
      </c>
      <c r="E21" s="367" t="s">
        <v>216</v>
      </c>
      <c r="F21" s="367" t="s">
        <v>215</v>
      </c>
      <c r="G21" s="352"/>
      <c r="H21" s="364">
        <f>($B$8-$H$20)/$B$18</f>
        <v>1.0756534690788579</v>
      </c>
      <c r="I21" s="364">
        <f>SQRT(($B$8-$I$20)/$B$25)</f>
        <v>0.97618955195798196</v>
      </c>
      <c r="J21" s="345" t="s">
        <v>18</v>
      </c>
      <c r="K21" s="335" t="s">
        <v>736</v>
      </c>
      <c r="L21" s="368">
        <v>1.25</v>
      </c>
      <c r="M21" s="368">
        <v>0.625</v>
      </c>
      <c r="N21" s="346">
        <v>17</v>
      </c>
      <c r="O21" s="346">
        <v>12.95</v>
      </c>
      <c r="P21" s="333">
        <v>0.625</v>
      </c>
      <c r="Q21" s="348">
        <v>0.1875</v>
      </c>
      <c r="R21" s="337">
        <f t="shared" si="0"/>
        <v>1</v>
      </c>
      <c r="S21" s="347">
        <f t="shared" si="1"/>
        <v>0.25</v>
      </c>
      <c r="T21" s="347">
        <v>2</v>
      </c>
      <c r="U21" s="333">
        <v>2.5</v>
      </c>
      <c r="V21" s="348">
        <v>0.75</v>
      </c>
      <c r="W21" s="348"/>
      <c r="X21" s="348"/>
      <c r="Y21" s="348"/>
      <c r="Z21" s="349"/>
      <c r="AA21" s="347"/>
      <c r="AB21" s="347"/>
      <c r="AC21" s="350"/>
      <c r="AD21" s="347"/>
      <c r="AE21" s="347"/>
      <c r="AF21" s="350"/>
      <c r="AG21" s="347"/>
      <c r="AH21" s="348"/>
      <c r="AI21" s="349"/>
      <c r="AJ21" s="348"/>
      <c r="AK21" s="348"/>
      <c r="AL21" s="349"/>
      <c r="AM21" s="348"/>
      <c r="AN21" s="348"/>
      <c r="AO21" s="349"/>
      <c r="AP21" s="348"/>
      <c r="AQ21" s="348"/>
      <c r="AR21" s="349"/>
      <c r="AS21" s="349"/>
      <c r="AT21" s="351"/>
      <c r="AU21" s="345" t="s">
        <v>18</v>
      </c>
      <c r="AV21" s="339" t="s">
        <v>35</v>
      </c>
      <c r="AW21" s="335" t="s">
        <v>211</v>
      </c>
      <c r="AX21" s="335" t="s">
        <v>212</v>
      </c>
      <c r="AY21" s="335" t="s">
        <v>213</v>
      </c>
      <c r="AZ21" s="335" t="s">
        <v>53</v>
      </c>
      <c r="BA21" s="335" t="s">
        <v>737</v>
      </c>
    </row>
    <row r="22" spans="1:53" ht="13.5" customHeight="1" x14ac:dyDescent="0.2">
      <c r="A22" s="333"/>
      <c r="B22" s="360"/>
      <c r="C22" s="385">
        <f>$D$8/2+((($G$18-$G$17)/$D$8)/2)</f>
        <v>0.61292904174135954</v>
      </c>
      <c r="D22" s="385">
        <f>$C$22+$C$8</f>
        <v>0.80042904174135954</v>
      </c>
      <c r="E22" s="385">
        <f>$D$8+2*$C$8</f>
        <v>1.25</v>
      </c>
      <c r="F22" s="386">
        <f>ROUNDUP(($D$20+$B$12+$C$12+$D$12),0)</f>
        <v>26</v>
      </c>
      <c r="G22" s="344"/>
      <c r="H22" s="364">
        <f>(($H$21/$B$15)^2)*((($E$15)*$B$15)+$C$15)</f>
        <v>3.7179349422797663</v>
      </c>
      <c r="I22" s="364">
        <f>(($I$21/$B$15)^2)*((($E$15)*$B$15)+$C$15)</f>
        <v>3.0621420401087529</v>
      </c>
      <c r="J22" s="345" t="s">
        <v>19</v>
      </c>
      <c r="K22" s="335" t="s">
        <v>738</v>
      </c>
      <c r="L22" s="368">
        <v>1.25</v>
      </c>
      <c r="M22" s="368">
        <v>0.625</v>
      </c>
      <c r="N22" s="346">
        <v>16</v>
      </c>
      <c r="O22" s="346">
        <v>12.223000000000001</v>
      </c>
      <c r="P22" s="333">
        <v>0.625</v>
      </c>
      <c r="Q22" s="348">
        <v>0.1875</v>
      </c>
      <c r="R22" s="337">
        <f t="shared" si="0"/>
        <v>1</v>
      </c>
      <c r="S22" s="347">
        <f t="shared" si="1"/>
        <v>0.25</v>
      </c>
      <c r="T22" s="347">
        <v>2</v>
      </c>
      <c r="U22" s="333">
        <v>2.5</v>
      </c>
      <c r="V22" s="348">
        <v>0.75</v>
      </c>
      <c r="W22" s="348"/>
      <c r="X22" s="348"/>
      <c r="Y22" s="348"/>
      <c r="Z22" s="349"/>
      <c r="AA22" s="347"/>
      <c r="AB22" s="347"/>
      <c r="AC22" s="350"/>
      <c r="AD22" s="347"/>
      <c r="AE22" s="347"/>
      <c r="AF22" s="350"/>
      <c r="AG22" s="347"/>
      <c r="AH22" s="348"/>
      <c r="AI22" s="349"/>
      <c r="AJ22" s="348"/>
      <c r="AK22" s="348"/>
      <c r="AL22" s="349"/>
      <c r="AM22" s="348"/>
      <c r="AN22" s="348"/>
      <c r="AO22" s="349"/>
      <c r="AP22" s="348"/>
      <c r="AQ22" s="348"/>
      <c r="AR22" s="349"/>
      <c r="AS22" s="349"/>
      <c r="AT22" s="351"/>
      <c r="AU22" s="345" t="s">
        <v>19</v>
      </c>
      <c r="AV22" s="339" t="s">
        <v>210</v>
      </c>
      <c r="AW22" s="335" t="s">
        <v>45</v>
      </c>
      <c r="AX22" s="335" t="s">
        <v>213</v>
      </c>
      <c r="AY22" s="335" t="s">
        <v>725</v>
      </c>
      <c r="AZ22" s="335" t="s">
        <v>734</v>
      </c>
      <c r="BA22" s="335" t="s">
        <v>214</v>
      </c>
    </row>
    <row r="23" spans="1:53" ht="13.5" customHeight="1" x14ac:dyDescent="0.2">
      <c r="A23" s="333"/>
      <c r="B23" s="333"/>
      <c r="C23" s="352"/>
      <c r="D23" s="352"/>
      <c r="E23" s="352"/>
      <c r="F23" s="352"/>
      <c r="G23" s="333"/>
      <c r="H23" s="364">
        <f>($B$8-$H$22)/$B$18</f>
        <v>1.0753369476511243</v>
      </c>
      <c r="I23" s="364">
        <f>SQRT(($B$8-$I$22)/$B$25)</f>
        <v>0.97618933467728408</v>
      </c>
      <c r="J23" s="345" t="s">
        <v>20</v>
      </c>
      <c r="K23" s="335" t="s">
        <v>739</v>
      </c>
      <c r="L23" s="368">
        <v>1.25</v>
      </c>
      <c r="M23" s="368">
        <v>0.625</v>
      </c>
      <c r="N23" s="346">
        <v>15</v>
      </c>
      <c r="O23" s="346">
        <v>11.537000000000001</v>
      </c>
      <c r="P23" s="333">
        <v>0.625</v>
      </c>
      <c r="Q23" s="348">
        <v>0.1875</v>
      </c>
      <c r="R23" s="337">
        <f t="shared" si="0"/>
        <v>1</v>
      </c>
      <c r="S23" s="347">
        <f t="shared" si="1"/>
        <v>0.25</v>
      </c>
      <c r="T23" s="347">
        <v>2</v>
      </c>
      <c r="U23" s="333">
        <v>2.5</v>
      </c>
      <c r="V23" s="348">
        <v>0.75</v>
      </c>
      <c r="W23" s="348"/>
      <c r="X23" s="348"/>
      <c r="Y23" s="348"/>
      <c r="Z23" s="349"/>
      <c r="AA23" s="347"/>
      <c r="AB23" s="347"/>
      <c r="AC23" s="350"/>
      <c r="AD23" s="347"/>
      <c r="AE23" s="347"/>
      <c r="AF23" s="350"/>
      <c r="AG23" s="347"/>
      <c r="AH23" s="348"/>
      <c r="AI23" s="349"/>
      <c r="AJ23" s="348"/>
      <c r="AK23" s="348"/>
      <c r="AL23" s="349"/>
      <c r="AM23" s="348"/>
      <c r="AN23" s="348"/>
      <c r="AO23" s="349"/>
      <c r="AP23" s="348"/>
      <c r="AQ23" s="348"/>
      <c r="AR23" s="349"/>
      <c r="AS23" s="349"/>
      <c r="AT23" s="351"/>
      <c r="AU23" s="345" t="s">
        <v>20</v>
      </c>
      <c r="AV23" s="339" t="s">
        <v>211</v>
      </c>
      <c r="AW23" s="335" t="s">
        <v>212</v>
      </c>
      <c r="AX23" s="335" t="s">
        <v>725</v>
      </c>
      <c r="AY23" s="335" t="s">
        <v>53</v>
      </c>
      <c r="AZ23" s="335" t="s">
        <v>737</v>
      </c>
      <c r="BA23" s="335" t="s">
        <v>740</v>
      </c>
    </row>
    <row r="24" spans="1:53" ht="13.5" customHeight="1" x14ac:dyDescent="0.2">
      <c r="A24" s="377" t="s">
        <v>719</v>
      </c>
      <c r="B24" s="332"/>
      <c r="C24" s="333"/>
      <c r="D24" s="333"/>
      <c r="E24" s="333"/>
      <c r="F24" s="333"/>
      <c r="G24" s="333"/>
      <c r="H24" s="364">
        <f>(($H$23/$B$15)^2)*((($E$15)*$B$15)+$C$15)</f>
        <v>3.7157471876418739</v>
      </c>
      <c r="I24" s="364">
        <f>(($I$23/$B$15)^2)*((($E$15)*$B$15)+$C$15)</f>
        <v>3.062140676963073</v>
      </c>
      <c r="J24" s="345" t="s">
        <v>35</v>
      </c>
      <c r="K24" s="335" t="s">
        <v>741</v>
      </c>
      <c r="L24" s="346">
        <v>1</v>
      </c>
      <c r="M24" s="346">
        <v>0.5</v>
      </c>
      <c r="N24" s="346">
        <v>15</v>
      </c>
      <c r="O24" s="346">
        <v>10.89</v>
      </c>
      <c r="P24" s="333">
        <v>0.5</v>
      </c>
      <c r="Q24" s="387">
        <v>0.125</v>
      </c>
      <c r="R24" s="337">
        <f t="shared" si="0"/>
        <v>0.75</v>
      </c>
      <c r="S24" s="347">
        <f t="shared" si="1"/>
        <v>0.25</v>
      </c>
      <c r="T24" s="347">
        <v>2</v>
      </c>
      <c r="U24" s="333">
        <v>2</v>
      </c>
      <c r="V24" s="348">
        <v>0.75</v>
      </c>
      <c r="W24" s="348"/>
      <c r="X24" s="348"/>
      <c r="Y24" s="348"/>
      <c r="Z24" s="349"/>
      <c r="AA24" s="347"/>
      <c r="AB24" s="347"/>
      <c r="AC24" s="350"/>
      <c r="AD24" s="347"/>
      <c r="AE24" s="347"/>
      <c r="AF24" s="350"/>
      <c r="AG24" s="347"/>
      <c r="AH24" s="348"/>
      <c r="AI24" s="349"/>
      <c r="AJ24" s="348"/>
      <c r="AK24" s="348"/>
      <c r="AL24" s="349"/>
      <c r="AM24" s="348"/>
      <c r="AN24" s="348"/>
      <c r="AO24" s="349"/>
      <c r="AP24" s="348"/>
      <c r="AQ24" s="348"/>
      <c r="AR24" s="349"/>
      <c r="AS24" s="349"/>
      <c r="AT24" s="351"/>
      <c r="AU24" s="345" t="s">
        <v>35</v>
      </c>
      <c r="AV24" s="339" t="s">
        <v>45</v>
      </c>
      <c r="AW24" s="335" t="s">
        <v>213</v>
      </c>
      <c r="AX24" s="335" t="s">
        <v>53</v>
      </c>
      <c r="AY24" s="335" t="s">
        <v>734</v>
      </c>
      <c r="AZ24" s="335" t="s">
        <v>214</v>
      </c>
      <c r="BA24" s="335" t="s">
        <v>247</v>
      </c>
    </row>
    <row r="25" spans="1:53" ht="13.5" customHeight="1" x14ac:dyDescent="0.2">
      <c r="A25" s="381" t="s">
        <v>742</v>
      </c>
      <c r="B25" s="382">
        <v>21</v>
      </c>
      <c r="C25" s="344"/>
      <c r="D25" s="333"/>
      <c r="E25" s="333"/>
      <c r="F25" s="354" t="s">
        <v>723</v>
      </c>
      <c r="G25" s="383">
        <f>PI()*($B$27/2)*($B$27/2)</f>
        <v>0.74844178069810441</v>
      </c>
      <c r="H25" s="364">
        <f>($B$8-$H$24)/$B$18</f>
        <v>1.0754584895754515</v>
      </c>
      <c r="I25" s="364">
        <f>SQRT(($B$8-$I$24)/$B$25)</f>
        <v>0.97618936792477795</v>
      </c>
      <c r="J25" s="345" t="s">
        <v>210</v>
      </c>
      <c r="K25" s="335" t="s">
        <v>743</v>
      </c>
      <c r="L25" s="346">
        <v>1</v>
      </c>
      <c r="M25" s="346">
        <v>0.5</v>
      </c>
      <c r="N25" s="346">
        <v>14</v>
      </c>
      <c r="O25" s="346">
        <v>10.278</v>
      </c>
      <c r="P25" s="333">
        <v>0.5</v>
      </c>
      <c r="Q25" s="387">
        <v>0.125</v>
      </c>
      <c r="R25" s="337">
        <f t="shared" si="0"/>
        <v>0.75</v>
      </c>
      <c r="S25" s="347">
        <f t="shared" si="1"/>
        <v>0.25</v>
      </c>
      <c r="T25" s="347">
        <v>2</v>
      </c>
      <c r="U25" s="333">
        <v>2</v>
      </c>
      <c r="V25" s="348">
        <v>0.75</v>
      </c>
      <c r="W25" s="348"/>
      <c r="X25" s="348"/>
      <c r="Y25" s="348"/>
      <c r="Z25" s="349"/>
      <c r="AA25" s="347"/>
      <c r="AB25" s="347"/>
      <c r="AC25" s="350"/>
      <c r="AD25" s="347"/>
      <c r="AE25" s="347"/>
      <c r="AF25" s="350"/>
      <c r="AG25" s="347"/>
      <c r="AH25" s="348"/>
      <c r="AI25" s="349"/>
      <c r="AJ25" s="348"/>
      <c r="AK25" s="348"/>
      <c r="AL25" s="349"/>
      <c r="AM25" s="348"/>
      <c r="AN25" s="348"/>
      <c r="AO25" s="349"/>
      <c r="AP25" s="348"/>
      <c r="AQ25" s="348"/>
      <c r="AR25" s="349"/>
      <c r="AS25" s="349"/>
      <c r="AT25" s="351"/>
      <c r="AU25" s="345" t="s">
        <v>210</v>
      </c>
      <c r="AV25" s="339" t="s">
        <v>212</v>
      </c>
      <c r="AW25" s="335" t="s">
        <v>725</v>
      </c>
      <c r="AX25" s="335" t="s">
        <v>734</v>
      </c>
      <c r="AY25" s="335" t="s">
        <v>737</v>
      </c>
      <c r="AZ25" s="335" t="s">
        <v>740</v>
      </c>
      <c r="BA25" s="335" t="s">
        <v>744</v>
      </c>
    </row>
    <row r="26" spans="1:53" ht="13.5" customHeight="1" x14ac:dyDescent="0.2">
      <c r="A26" s="333"/>
      <c r="B26" s="367" t="s">
        <v>726</v>
      </c>
      <c r="C26" s="365" t="s">
        <v>727</v>
      </c>
      <c r="D26" s="357" t="s">
        <v>728</v>
      </c>
      <c r="E26" s="365" t="s">
        <v>729</v>
      </c>
      <c r="F26" s="365" t="s">
        <v>730</v>
      </c>
      <c r="G26" s="365" t="s">
        <v>731</v>
      </c>
      <c r="H26" s="364">
        <f>(($H$25/$B$15)^2)*((($E$15)*$B$15)+$C$15)</f>
        <v>3.7165871933480319</v>
      </c>
      <c r="I26" s="364">
        <f>(($I$25/$B$15)^2)*((($E$15)*$B$15)+$C$15)</f>
        <v>3.062140885546595</v>
      </c>
      <c r="J26" s="345" t="s">
        <v>211</v>
      </c>
      <c r="K26" s="335" t="s">
        <v>745</v>
      </c>
      <c r="L26" s="346">
        <v>1</v>
      </c>
      <c r="M26" s="346">
        <v>0.5</v>
      </c>
      <c r="N26" s="346">
        <v>13</v>
      </c>
      <c r="O26" s="346">
        <v>9.7010000000000005</v>
      </c>
      <c r="P26" s="333">
        <v>0.5</v>
      </c>
      <c r="Q26" s="387">
        <v>0.125</v>
      </c>
      <c r="R26" s="337">
        <f t="shared" si="0"/>
        <v>0.75</v>
      </c>
      <c r="S26" s="347">
        <f t="shared" si="1"/>
        <v>0.25</v>
      </c>
      <c r="T26" s="347">
        <v>2</v>
      </c>
      <c r="U26" s="333">
        <v>2</v>
      </c>
      <c r="V26" s="348">
        <v>0.75</v>
      </c>
      <c r="W26" s="388"/>
      <c r="X26" s="348"/>
      <c r="Y26" s="348"/>
      <c r="Z26" s="349"/>
      <c r="AA26" s="347"/>
      <c r="AB26" s="347"/>
      <c r="AC26" s="350"/>
      <c r="AD26" s="347"/>
      <c r="AE26" s="347"/>
      <c r="AF26" s="350"/>
      <c r="AG26" s="347"/>
      <c r="AH26" s="348"/>
      <c r="AI26" s="349"/>
      <c r="AJ26" s="348"/>
      <c r="AK26" s="348"/>
      <c r="AL26" s="349"/>
      <c r="AM26" s="348"/>
      <c r="AN26" s="348"/>
      <c r="AO26" s="349"/>
      <c r="AP26" s="348"/>
      <c r="AQ26" s="348"/>
      <c r="AR26" s="349"/>
      <c r="AS26" s="349"/>
      <c r="AT26" s="351"/>
      <c r="AU26" s="345" t="s">
        <v>211</v>
      </c>
      <c r="AV26" s="339" t="s">
        <v>213</v>
      </c>
      <c r="AW26" s="335" t="s">
        <v>53</v>
      </c>
      <c r="AX26" s="335" t="s">
        <v>737</v>
      </c>
      <c r="AY26" s="335" t="s">
        <v>214</v>
      </c>
      <c r="AZ26" s="335" t="s">
        <v>247</v>
      </c>
      <c r="BA26" s="335" t="s">
        <v>746</v>
      </c>
    </row>
    <row r="27" spans="1:53" ht="13.5" customHeight="1" x14ac:dyDescent="0.2">
      <c r="A27" s="360"/>
      <c r="B27" s="372">
        <f>SQRT(($B$8-$I$26)/$B$25)</f>
        <v>0.97618936283736923</v>
      </c>
      <c r="C27" s="384">
        <f>$B$8-$E$27-$F$27</f>
        <v>19.682023643027328</v>
      </c>
      <c r="D27" s="372">
        <f>C27+B27/6</f>
        <v>19.844721870166889</v>
      </c>
      <c r="E27" s="372">
        <f>B27*(0.411-((0.065)/((0.42+(2*$C$8/B27))^0.54)))</f>
        <v>0.32983550334276029</v>
      </c>
      <c r="F27" s="372">
        <f>(($B$27/$B$15)^2)*(($E$15*$B$15)+$C$15)</f>
        <v>3.0621408536299146</v>
      </c>
      <c r="G27" s="361">
        <f>($C$29*2)/$D$8</f>
        <v>1.1921584481266065</v>
      </c>
      <c r="H27" s="344"/>
      <c r="I27" s="333"/>
      <c r="J27" s="345" t="s">
        <v>45</v>
      </c>
      <c r="K27" s="335" t="s">
        <v>747</v>
      </c>
      <c r="L27" s="346">
        <v>1</v>
      </c>
      <c r="M27" s="346">
        <v>0.5</v>
      </c>
      <c r="N27" s="346">
        <v>13</v>
      </c>
      <c r="O27" s="346">
        <v>9.157</v>
      </c>
      <c r="P27" s="333">
        <v>0.5</v>
      </c>
      <c r="Q27" s="387">
        <v>0.125</v>
      </c>
      <c r="R27" s="337">
        <f t="shared" si="0"/>
        <v>0.75</v>
      </c>
      <c r="S27" s="347">
        <f t="shared" si="1"/>
        <v>0.25</v>
      </c>
      <c r="T27" s="347">
        <v>2</v>
      </c>
      <c r="U27" s="333">
        <v>2</v>
      </c>
      <c r="V27" s="348">
        <v>0.75</v>
      </c>
      <c r="W27" s="388"/>
      <c r="X27" s="348"/>
      <c r="Y27" s="348"/>
      <c r="Z27" s="349"/>
      <c r="AA27" s="347"/>
      <c r="AB27" s="347"/>
      <c r="AC27" s="350"/>
      <c r="AD27" s="347"/>
      <c r="AE27" s="347"/>
      <c r="AF27" s="350"/>
      <c r="AG27" s="347"/>
      <c r="AH27" s="348"/>
      <c r="AI27" s="349"/>
      <c r="AJ27" s="348"/>
      <c r="AK27" s="348"/>
      <c r="AL27" s="349"/>
      <c r="AM27" s="348"/>
      <c r="AN27" s="348"/>
      <c r="AO27" s="349"/>
      <c r="AP27" s="348"/>
      <c r="AQ27" s="348"/>
      <c r="AR27" s="349"/>
      <c r="AS27" s="349"/>
      <c r="AT27" s="351"/>
      <c r="AU27" s="345" t="s">
        <v>45</v>
      </c>
      <c r="AV27" s="339" t="s">
        <v>725</v>
      </c>
      <c r="AW27" s="335" t="s">
        <v>734</v>
      </c>
      <c r="AX27" s="335" t="s">
        <v>214</v>
      </c>
      <c r="AY27" s="335" t="s">
        <v>740</v>
      </c>
      <c r="AZ27" s="335" t="s">
        <v>744</v>
      </c>
      <c r="BA27" s="335" t="s">
        <v>259</v>
      </c>
    </row>
    <row r="28" spans="1:53" ht="13.5" customHeight="1" x14ac:dyDescent="0.2">
      <c r="A28" s="333"/>
      <c r="B28" s="352"/>
      <c r="C28" s="356" t="s">
        <v>735</v>
      </c>
      <c r="D28" s="367" t="s">
        <v>217</v>
      </c>
      <c r="E28" s="367" t="s">
        <v>216</v>
      </c>
      <c r="F28" s="367" t="s">
        <v>215</v>
      </c>
      <c r="G28" s="352"/>
      <c r="H28" s="333"/>
      <c r="I28" s="333"/>
      <c r="J28" s="345" t="s">
        <v>212</v>
      </c>
      <c r="K28" s="335" t="s">
        <v>748</v>
      </c>
      <c r="L28" s="346">
        <v>1</v>
      </c>
      <c r="M28" s="346">
        <v>0.5</v>
      </c>
      <c r="N28" s="346">
        <v>12</v>
      </c>
      <c r="O28" s="346">
        <v>8.6430000000000007</v>
      </c>
      <c r="P28" s="333">
        <v>0.5</v>
      </c>
      <c r="Q28" s="387">
        <v>0.125</v>
      </c>
      <c r="R28" s="337">
        <f t="shared" si="0"/>
        <v>0.75</v>
      </c>
      <c r="S28" s="347">
        <f t="shared" si="1"/>
        <v>0.25</v>
      </c>
      <c r="T28" s="347">
        <v>2</v>
      </c>
      <c r="U28" s="333">
        <v>2</v>
      </c>
      <c r="V28" s="348">
        <v>0.75</v>
      </c>
      <c r="W28" s="388"/>
      <c r="X28" s="348"/>
      <c r="Y28" s="348"/>
      <c r="Z28" s="349"/>
      <c r="AA28" s="347"/>
      <c r="AB28" s="347"/>
      <c r="AC28" s="350"/>
      <c r="AD28" s="347"/>
      <c r="AE28" s="347"/>
      <c r="AF28" s="350"/>
      <c r="AG28" s="347"/>
      <c r="AH28" s="348"/>
      <c r="AI28" s="349"/>
      <c r="AJ28" s="348"/>
      <c r="AK28" s="348"/>
      <c r="AL28" s="349"/>
      <c r="AM28" s="348"/>
      <c r="AN28" s="348"/>
      <c r="AO28" s="349"/>
      <c r="AP28" s="348"/>
      <c r="AQ28" s="348"/>
      <c r="AR28" s="349"/>
      <c r="AS28" s="349"/>
      <c r="AT28" s="351"/>
      <c r="AU28" s="345" t="s">
        <v>212</v>
      </c>
      <c r="AV28" s="339" t="s">
        <v>53</v>
      </c>
      <c r="AW28" s="335" t="s">
        <v>737</v>
      </c>
      <c r="AX28" s="335" t="s">
        <v>740</v>
      </c>
      <c r="AY28" s="335" t="s">
        <v>247</v>
      </c>
      <c r="AZ28" s="335" t="s">
        <v>746</v>
      </c>
      <c r="BA28" s="335" t="s">
        <v>749</v>
      </c>
    </row>
    <row r="29" spans="1:53" ht="13.5" customHeight="1" x14ac:dyDescent="0.2">
      <c r="A29" s="333"/>
      <c r="B29" s="360"/>
      <c r="C29" s="385">
        <f>$D$8/2+((($G$25-$G$17)/$D$8)/2)</f>
        <v>0.52156932105539033</v>
      </c>
      <c r="D29" s="385">
        <f>$C$29+$C$8</f>
        <v>0.70906932105539033</v>
      </c>
      <c r="E29" s="385">
        <f>$D$8+2*$C$8</f>
        <v>1.25</v>
      </c>
      <c r="F29" s="386">
        <f>ROUNDUP(($D$27+$B$12+$C$12+$D$12),0)</f>
        <v>27</v>
      </c>
      <c r="G29" s="344"/>
      <c r="H29" s="333"/>
      <c r="I29" s="333"/>
      <c r="J29" s="345" t="s">
        <v>213</v>
      </c>
      <c r="K29" s="335" t="s">
        <v>750</v>
      </c>
      <c r="L29" s="346">
        <v>1</v>
      </c>
      <c r="M29" s="346">
        <v>0.375</v>
      </c>
      <c r="N29" s="346">
        <v>12</v>
      </c>
      <c r="O29" s="346">
        <v>8.1579999999999995</v>
      </c>
      <c r="P29" s="333">
        <v>0.375</v>
      </c>
      <c r="Q29" s="387">
        <v>0.125</v>
      </c>
      <c r="R29" s="337">
        <f t="shared" si="0"/>
        <v>0.625</v>
      </c>
      <c r="S29" s="347">
        <f t="shared" si="1"/>
        <v>0.375</v>
      </c>
      <c r="T29" s="347">
        <v>2</v>
      </c>
      <c r="U29" s="333">
        <v>2</v>
      </c>
      <c r="V29" s="348">
        <v>0.75</v>
      </c>
      <c r="W29" s="388"/>
      <c r="X29" s="348"/>
      <c r="Y29" s="348"/>
      <c r="Z29" s="349"/>
      <c r="AA29" s="347"/>
      <c r="AB29" s="347"/>
      <c r="AC29" s="350"/>
      <c r="AD29" s="347"/>
      <c r="AE29" s="347"/>
      <c r="AF29" s="350"/>
      <c r="AG29" s="347"/>
      <c r="AH29" s="348"/>
      <c r="AI29" s="349"/>
      <c r="AJ29" s="348"/>
      <c r="AK29" s="348"/>
      <c r="AL29" s="349"/>
      <c r="AM29" s="348"/>
      <c r="AN29" s="348"/>
      <c r="AO29" s="349"/>
      <c r="AP29" s="348"/>
      <c r="AQ29" s="348"/>
      <c r="AR29" s="349"/>
      <c r="AS29" s="349"/>
      <c r="AT29" s="351"/>
      <c r="AU29" s="345" t="s">
        <v>213</v>
      </c>
      <c r="AV29" s="339" t="s">
        <v>734</v>
      </c>
      <c r="AW29" s="335" t="s">
        <v>214</v>
      </c>
      <c r="AX29" s="335" t="s">
        <v>247</v>
      </c>
      <c r="AY29" s="335" t="s">
        <v>744</v>
      </c>
      <c r="AZ29" s="335" t="s">
        <v>259</v>
      </c>
      <c r="BA29" s="335" t="s">
        <v>751</v>
      </c>
    </row>
    <row r="30" spans="1:53" ht="13.5" customHeight="1" x14ac:dyDescent="0.2">
      <c r="A30" s="333"/>
      <c r="B30" s="333"/>
      <c r="C30" s="352"/>
      <c r="D30" s="352"/>
      <c r="E30" s="352"/>
      <c r="F30" s="352"/>
      <c r="G30" s="333"/>
      <c r="H30" s="333"/>
      <c r="I30" s="333"/>
      <c r="J30" s="352"/>
      <c r="K30" s="332"/>
      <c r="L30" s="389"/>
      <c r="M30" s="389"/>
      <c r="N30" s="389"/>
      <c r="O30" s="387"/>
      <c r="P30" s="333"/>
      <c r="Q30" s="387"/>
      <c r="R30" s="337"/>
      <c r="S30" s="333"/>
      <c r="T30" s="333"/>
      <c r="U30" s="333"/>
      <c r="V30" s="387"/>
      <c r="W30" s="387"/>
      <c r="X30" s="387"/>
      <c r="Y30" s="387"/>
      <c r="Z30" s="387"/>
      <c r="AA30" s="333"/>
      <c r="AB30" s="333"/>
      <c r="AC30" s="333"/>
      <c r="AD30" s="333"/>
      <c r="AE30" s="333"/>
      <c r="AF30" s="333"/>
      <c r="AG30" s="333"/>
      <c r="AH30" s="387"/>
      <c r="AI30" s="387"/>
      <c r="AJ30" s="387"/>
      <c r="AK30" s="387"/>
      <c r="AL30" s="387"/>
      <c r="AM30" s="387"/>
      <c r="AN30" s="387"/>
      <c r="AO30" s="387"/>
      <c r="AP30" s="387"/>
      <c r="AQ30" s="387"/>
      <c r="AR30" s="387"/>
      <c r="AS30" s="387"/>
      <c r="AT30" s="387"/>
      <c r="AU30" s="352"/>
      <c r="AV30" s="333"/>
      <c r="AW30" s="333"/>
      <c r="AX30" s="333"/>
      <c r="AY30" s="333"/>
      <c r="AZ30" s="333"/>
      <c r="BA30" s="333"/>
    </row>
    <row r="31" spans="1:53" ht="13.5" customHeight="1" x14ac:dyDescent="0.2">
      <c r="A31" s="333"/>
      <c r="B31" s="333"/>
      <c r="C31" s="333"/>
      <c r="D31" s="333"/>
      <c r="E31" s="333"/>
      <c r="F31" s="333"/>
      <c r="G31" s="333"/>
      <c r="H31" s="333"/>
      <c r="I31" s="333"/>
      <c r="J31" s="333"/>
      <c r="K31" s="390" t="s">
        <v>752</v>
      </c>
      <c r="L31" s="330"/>
      <c r="M31" s="330"/>
      <c r="N31" s="330"/>
      <c r="O31" s="391" t="s">
        <v>753</v>
      </c>
      <c r="P31" s="392"/>
      <c r="Q31" s="387"/>
      <c r="R31" s="393"/>
      <c r="S31" s="392"/>
      <c r="T31" s="392"/>
      <c r="U31" s="333">
        <v>110</v>
      </c>
      <c r="V31" s="387"/>
      <c r="W31" s="387"/>
      <c r="X31" s="387"/>
      <c r="Y31" s="387"/>
      <c r="Z31" s="387"/>
      <c r="AA31" s="333"/>
      <c r="AB31" s="333"/>
      <c r="AC31" s="333"/>
      <c r="AD31" s="333"/>
      <c r="AE31" s="333"/>
      <c r="AF31" s="333"/>
      <c r="AG31" s="333"/>
      <c r="AH31" s="387"/>
      <c r="AI31" s="387"/>
      <c r="AJ31" s="387"/>
      <c r="AK31" s="387"/>
      <c r="AL31" s="387"/>
      <c r="AM31" s="387"/>
      <c r="AN31" s="387"/>
      <c r="AO31" s="387"/>
      <c r="AP31" s="387"/>
      <c r="AQ31" s="387"/>
      <c r="AR31" s="387"/>
      <c r="AS31" s="387"/>
      <c r="AT31" s="387"/>
      <c r="AU31" s="333"/>
      <c r="AV31" s="333"/>
      <c r="AW31" s="333"/>
      <c r="AX31" s="333"/>
      <c r="AY31" s="333"/>
      <c r="AZ31" s="333"/>
      <c r="BA31" s="333"/>
    </row>
    <row r="32" spans="1:53" ht="13.5" customHeight="1" x14ac:dyDescent="0.2">
      <c r="A32" s="377" t="s">
        <v>754</v>
      </c>
      <c r="B32" s="357" t="s">
        <v>726</v>
      </c>
      <c r="C32" s="365" t="s">
        <v>755</v>
      </c>
      <c r="D32" s="365" t="s">
        <v>756</v>
      </c>
      <c r="E32" s="365" t="s">
        <v>729</v>
      </c>
      <c r="F32" s="365" t="s">
        <v>730</v>
      </c>
      <c r="G32" s="365" t="s">
        <v>757</v>
      </c>
      <c r="H32" s="365" t="s">
        <v>758</v>
      </c>
      <c r="I32" s="333"/>
      <c r="J32" s="333"/>
      <c r="K32" s="352"/>
      <c r="L32" s="394"/>
      <c r="M32" s="394"/>
      <c r="N32" s="394"/>
      <c r="O32" s="336" t="s">
        <v>207</v>
      </c>
      <c r="P32" s="333"/>
      <c r="Q32" s="387"/>
      <c r="R32" s="337"/>
      <c r="S32" s="333"/>
      <c r="T32" s="333"/>
      <c r="U32" s="333">
        <v>220</v>
      </c>
      <c r="V32" s="387"/>
      <c r="W32" s="387"/>
      <c r="X32" s="387"/>
      <c r="Y32" s="387"/>
      <c r="Z32" s="387"/>
      <c r="AA32" s="333"/>
      <c r="AB32" s="333"/>
      <c r="AC32" s="333"/>
      <c r="AD32" s="333"/>
      <c r="AE32" s="333"/>
      <c r="AF32" s="333"/>
      <c r="AG32" s="333"/>
      <c r="AH32" s="387"/>
      <c r="AI32" s="387"/>
      <c r="AJ32" s="387"/>
      <c r="AK32" s="387"/>
      <c r="AL32" s="387"/>
      <c r="AM32" s="387"/>
      <c r="AN32" s="387"/>
      <c r="AO32" s="387"/>
      <c r="AP32" s="387"/>
      <c r="AQ32" s="387"/>
      <c r="AR32" s="387"/>
      <c r="AS32" s="387"/>
      <c r="AT32" s="387"/>
      <c r="AU32" s="333"/>
      <c r="AV32" s="333"/>
      <c r="AW32" s="333"/>
      <c r="AX32" s="333"/>
      <c r="AY32" s="333"/>
      <c r="AZ32" s="333"/>
      <c r="BA32" s="333"/>
    </row>
    <row r="33" spans="1:53" ht="13.5" customHeight="1" x14ac:dyDescent="0.2">
      <c r="A33" s="360"/>
      <c r="B33" s="372">
        <f>$D$8</f>
        <v>0.875</v>
      </c>
      <c r="C33" s="372">
        <f>($G$33+E33)/$B$33</f>
        <v>23.558611003623206</v>
      </c>
      <c r="D33" s="372">
        <f>($G$33+E33)/(($B$33)^2)</f>
        <v>26.924126861283664</v>
      </c>
      <c r="E33" s="372">
        <f>B33*(0.411-((0.065)/((0.42+(2*$C$8/B33))^0.54)))</f>
        <v>0.29747664025470333</v>
      </c>
      <c r="F33" s="372">
        <f>(($B$33/$B$15)^2)*(($E$15*$B$15)+$C$15)</f>
        <v>2.4602153718296962</v>
      </c>
      <c r="G33" s="384">
        <f>$B$8-$E$33-$F$33</f>
        <v>20.3163079879156</v>
      </c>
      <c r="H33" s="372">
        <f>G33+(B33/6)</f>
        <v>20.462141321248932</v>
      </c>
      <c r="I33" s="344"/>
      <c r="J33" s="333"/>
      <c r="K33" s="333"/>
      <c r="L33" s="336"/>
      <c r="M33" s="336"/>
      <c r="N33" s="336"/>
      <c r="O33" s="336" t="s">
        <v>15</v>
      </c>
      <c r="P33" s="333"/>
      <c r="Q33" s="387"/>
      <c r="R33" s="337"/>
      <c r="S33" s="333"/>
      <c r="T33" s="333"/>
      <c r="U33" s="333">
        <v>440</v>
      </c>
      <c r="V33" s="387"/>
      <c r="W33" s="387"/>
      <c r="X33" s="387"/>
      <c r="Y33" s="387"/>
      <c r="Z33" s="387"/>
      <c r="AA33" s="333"/>
      <c r="AB33" s="333"/>
      <c r="AC33" s="333"/>
      <c r="AD33" s="333"/>
      <c r="AE33" s="333"/>
      <c r="AF33" s="333"/>
      <c r="AG33" s="333"/>
      <c r="AH33" s="387"/>
      <c r="AI33" s="387"/>
      <c r="AJ33" s="387"/>
      <c r="AK33" s="387"/>
      <c r="AL33" s="387"/>
      <c r="AM33" s="387"/>
      <c r="AN33" s="387"/>
      <c r="AO33" s="387"/>
      <c r="AP33" s="387"/>
      <c r="AQ33" s="387"/>
      <c r="AR33" s="387"/>
      <c r="AS33" s="387"/>
      <c r="AT33" s="387"/>
      <c r="AU33" s="333"/>
      <c r="AV33" s="333"/>
      <c r="AW33" s="333"/>
      <c r="AX33" s="333"/>
      <c r="AY33" s="333"/>
      <c r="AZ33" s="333"/>
      <c r="BA33" s="333"/>
    </row>
    <row r="34" spans="1:53" ht="13.5" customHeight="1" x14ac:dyDescent="0.2">
      <c r="A34" s="333"/>
      <c r="B34" s="352"/>
      <c r="C34" s="356" t="s">
        <v>735</v>
      </c>
      <c r="D34" s="367" t="s">
        <v>217</v>
      </c>
      <c r="E34" s="367" t="s">
        <v>216</v>
      </c>
      <c r="F34" s="367" t="s">
        <v>215</v>
      </c>
      <c r="G34" s="395"/>
      <c r="H34" s="352"/>
      <c r="I34" s="333"/>
      <c r="J34" s="333"/>
      <c r="K34" s="333"/>
      <c r="L34" s="336"/>
      <c r="M34" s="336"/>
      <c r="N34" s="336"/>
      <c r="O34" s="336" t="s">
        <v>725</v>
      </c>
      <c r="P34" s="333"/>
      <c r="Q34" s="387"/>
      <c r="R34" s="337"/>
      <c r="S34" s="333"/>
      <c r="T34" s="333"/>
      <c r="U34" s="333">
        <v>880</v>
      </c>
      <c r="V34" s="387"/>
      <c r="W34" s="387"/>
      <c r="X34" s="387"/>
      <c r="Y34" s="387"/>
      <c r="Z34" s="387"/>
      <c r="AA34" s="333"/>
      <c r="AB34" s="333"/>
      <c r="AC34" s="333"/>
      <c r="AD34" s="333"/>
      <c r="AE34" s="333"/>
      <c r="AF34" s="333"/>
      <c r="AG34" s="333"/>
      <c r="AH34" s="387"/>
      <c r="AI34" s="387"/>
      <c r="AJ34" s="387"/>
      <c r="AK34" s="387"/>
      <c r="AL34" s="387"/>
      <c r="AM34" s="387"/>
      <c r="AN34" s="387"/>
      <c r="AO34" s="387"/>
      <c r="AP34" s="387"/>
      <c r="AQ34" s="387"/>
      <c r="AR34" s="387"/>
      <c r="AS34" s="387"/>
      <c r="AT34" s="387"/>
      <c r="AU34" s="333"/>
      <c r="AV34" s="333"/>
      <c r="AW34" s="333"/>
      <c r="AX34" s="333"/>
      <c r="AY34" s="333"/>
      <c r="AZ34" s="333"/>
      <c r="BA34" s="333"/>
    </row>
    <row r="35" spans="1:53" ht="13.5" customHeight="1" x14ac:dyDescent="0.2">
      <c r="A35" s="333"/>
      <c r="B35" s="360"/>
      <c r="C35" s="385">
        <f>$D$8/2</f>
        <v>0.4375</v>
      </c>
      <c r="D35" s="385">
        <f>($D$8/2)+$C$8</f>
        <v>0.625</v>
      </c>
      <c r="E35" s="385">
        <f>$D$8+2*$C$8</f>
        <v>1.25</v>
      </c>
      <c r="F35" s="386">
        <f>ROUNDUP(($H$33+$B$12+$C$12+$D$12),0)</f>
        <v>28</v>
      </c>
      <c r="G35" s="344"/>
      <c r="H35" s="333"/>
      <c r="I35" s="333"/>
      <c r="J35" s="333"/>
      <c r="K35" s="333"/>
      <c r="L35" s="336"/>
      <c r="M35" s="336"/>
      <c r="N35" s="336"/>
      <c r="O35" s="336" t="s">
        <v>206</v>
      </c>
      <c r="P35" s="333"/>
      <c r="Q35" s="387"/>
      <c r="R35" s="337"/>
      <c r="S35" s="333"/>
      <c r="T35" s="333"/>
      <c r="U35" s="333">
        <v>207.7</v>
      </c>
      <c r="V35" s="387"/>
      <c r="W35" s="387"/>
      <c r="X35" s="387"/>
      <c r="Y35" s="387"/>
      <c r="Z35" s="387"/>
      <c r="AA35" s="333"/>
      <c r="AB35" s="333"/>
      <c r="AC35" s="333"/>
      <c r="AD35" s="333"/>
      <c r="AE35" s="333"/>
      <c r="AF35" s="333"/>
      <c r="AG35" s="333"/>
      <c r="AH35" s="387"/>
      <c r="AI35" s="387"/>
      <c r="AJ35" s="387"/>
      <c r="AK35" s="387"/>
      <c r="AL35" s="387"/>
      <c r="AM35" s="387"/>
      <c r="AN35" s="387"/>
      <c r="AO35" s="387"/>
      <c r="AP35" s="387"/>
      <c r="AQ35" s="387"/>
      <c r="AR35" s="387"/>
      <c r="AS35" s="387"/>
      <c r="AT35" s="387"/>
      <c r="AU35" s="333"/>
      <c r="AV35" s="333"/>
      <c r="AW35" s="333"/>
      <c r="AX35" s="333"/>
      <c r="AY35" s="333"/>
      <c r="AZ35" s="333"/>
      <c r="BA35" s="333"/>
    </row>
    <row r="36" spans="1:53" ht="13.5" customHeight="1" x14ac:dyDescent="0.2">
      <c r="A36" s="333"/>
      <c r="B36" s="333"/>
      <c r="C36" s="352"/>
      <c r="D36" s="352"/>
      <c r="E36" s="352"/>
      <c r="F36" s="352"/>
      <c r="G36" s="333"/>
      <c r="H36" s="333"/>
      <c r="I36" s="333"/>
      <c r="J36" s="333"/>
      <c r="K36" s="333"/>
      <c r="L36" s="336"/>
      <c r="M36" s="336"/>
      <c r="N36" s="336"/>
      <c r="O36" s="336" t="s">
        <v>14</v>
      </c>
      <c r="P36" s="333"/>
      <c r="Q36" s="387"/>
      <c r="R36" s="337"/>
      <c r="S36" s="333"/>
      <c r="T36" s="333"/>
      <c r="U36" s="333">
        <v>415.3</v>
      </c>
      <c r="V36" s="387"/>
      <c r="W36" s="387"/>
      <c r="X36" s="387"/>
      <c r="Y36" s="387"/>
      <c r="Z36" s="387"/>
      <c r="AA36" s="333"/>
      <c r="AB36" s="333"/>
      <c r="AC36" s="333"/>
      <c r="AD36" s="333"/>
      <c r="AE36" s="333"/>
      <c r="AF36" s="333"/>
      <c r="AG36" s="333"/>
      <c r="AH36" s="387"/>
      <c r="AI36" s="387"/>
      <c r="AJ36" s="387"/>
      <c r="AK36" s="387"/>
      <c r="AL36" s="387"/>
      <c r="AM36" s="387"/>
      <c r="AN36" s="387"/>
      <c r="AO36" s="387"/>
      <c r="AP36" s="387"/>
      <c r="AQ36" s="387"/>
      <c r="AR36" s="387"/>
      <c r="AS36" s="387"/>
      <c r="AT36" s="387"/>
      <c r="AU36" s="333"/>
      <c r="AV36" s="333"/>
      <c r="AW36" s="333"/>
      <c r="AX36" s="333"/>
      <c r="AY36" s="333"/>
      <c r="AZ36" s="333"/>
      <c r="BA36" s="333"/>
    </row>
    <row r="37" spans="1:53" ht="13.5" customHeight="1" x14ac:dyDescent="0.2">
      <c r="A37" s="333"/>
      <c r="B37" s="333"/>
      <c r="C37" s="333"/>
      <c r="D37" s="333"/>
      <c r="E37" s="333"/>
      <c r="F37" s="333"/>
      <c r="G37" s="333"/>
      <c r="H37" s="333"/>
      <c r="I37" s="333"/>
      <c r="J37" s="333"/>
      <c r="K37" s="333"/>
      <c r="L37" s="336"/>
      <c r="M37" s="336"/>
      <c r="N37" s="336"/>
      <c r="O37" s="336" t="s">
        <v>213</v>
      </c>
      <c r="P37" s="333"/>
      <c r="Q37" s="387"/>
      <c r="R37" s="337"/>
      <c r="S37" s="333"/>
      <c r="T37" s="333"/>
      <c r="U37" s="333">
        <v>830.6</v>
      </c>
      <c r="V37" s="387"/>
      <c r="W37" s="387"/>
      <c r="X37" s="387"/>
      <c r="Y37" s="387"/>
      <c r="Z37" s="387"/>
      <c r="AA37" s="333"/>
      <c r="AB37" s="333"/>
      <c r="AC37" s="333"/>
      <c r="AD37" s="333"/>
      <c r="AE37" s="333"/>
      <c r="AF37" s="333"/>
      <c r="AG37" s="333"/>
      <c r="AH37" s="387"/>
      <c r="AI37" s="387"/>
      <c r="AJ37" s="387"/>
      <c r="AK37" s="387"/>
      <c r="AL37" s="387"/>
      <c r="AM37" s="387"/>
      <c r="AN37" s="387"/>
      <c r="AO37" s="387"/>
      <c r="AP37" s="387"/>
      <c r="AQ37" s="387"/>
      <c r="AR37" s="387"/>
      <c r="AS37" s="387"/>
      <c r="AT37" s="387"/>
      <c r="AU37" s="333"/>
      <c r="AV37" s="333"/>
      <c r="AW37" s="333"/>
      <c r="AX37" s="333"/>
      <c r="AY37" s="333"/>
      <c r="AZ37" s="333"/>
      <c r="BA37" s="333"/>
    </row>
    <row r="38" spans="1:53" ht="13.5" customHeight="1" x14ac:dyDescent="0.2">
      <c r="A38" s="333"/>
      <c r="B38" s="333"/>
      <c r="C38" s="333"/>
      <c r="D38" s="333"/>
      <c r="E38" s="333"/>
      <c r="F38" s="333"/>
      <c r="G38" s="333"/>
      <c r="H38" s="333"/>
      <c r="I38" s="333"/>
      <c r="J38" s="333"/>
      <c r="K38" s="333"/>
      <c r="L38" s="336"/>
      <c r="M38" s="336"/>
      <c r="N38" s="336"/>
      <c r="O38" s="336" t="s">
        <v>759</v>
      </c>
      <c r="P38" s="333"/>
      <c r="Q38" s="387"/>
      <c r="R38" s="337"/>
      <c r="S38" s="333"/>
      <c r="T38" s="333"/>
      <c r="U38" s="333">
        <v>123.5</v>
      </c>
      <c r="V38" s="387"/>
      <c r="W38" s="387"/>
      <c r="X38" s="387"/>
      <c r="Y38" s="387"/>
      <c r="Z38" s="387"/>
      <c r="AA38" s="333"/>
      <c r="AB38" s="333"/>
      <c r="AC38" s="333"/>
      <c r="AD38" s="333"/>
      <c r="AE38" s="333"/>
      <c r="AF38" s="333"/>
      <c r="AG38" s="333"/>
      <c r="AH38" s="387"/>
      <c r="AI38" s="387"/>
      <c r="AJ38" s="387"/>
      <c r="AK38" s="387"/>
      <c r="AL38" s="387"/>
      <c r="AM38" s="387"/>
      <c r="AN38" s="387"/>
      <c r="AO38" s="387"/>
      <c r="AP38" s="387"/>
      <c r="AQ38" s="387"/>
      <c r="AR38" s="387"/>
      <c r="AS38" s="387"/>
      <c r="AT38" s="387"/>
      <c r="AU38" s="333"/>
      <c r="AV38" s="333"/>
      <c r="AW38" s="333"/>
      <c r="AX38" s="333"/>
      <c r="AY38" s="333"/>
      <c r="AZ38" s="333"/>
      <c r="BA38" s="333"/>
    </row>
    <row r="39" spans="1:53" ht="13.5" customHeight="1" x14ac:dyDescent="0.2">
      <c r="A39" s="333"/>
      <c r="B39" s="333"/>
      <c r="C39" s="333"/>
      <c r="D39" s="333"/>
      <c r="E39" s="333"/>
      <c r="F39" s="333"/>
      <c r="G39" s="333"/>
      <c r="H39" s="333"/>
      <c r="I39" s="333"/>
      <c r="J39" s="333"/>
      <c r="K39" s="333"/>
      <c r="L39" s="336"/>
      <c r="M39" s="336"/>
      <c r="N39" s="336"/>
      <c r="O39" s="336" t="s">
        <v>209</v>
      </c>
      <c r="P39" s="333"/>
      <c r="Q39" s="387"/>
      <c r="R39" s="337"/>
      <c r="S39" s="333"/>
      <c r="T39" s="333"/>
      <c r="U39" s="333">
        <v>246.9</v>
      </c>
      <c r="V39" s="387"/>
      <c r="W39" s="387"/>
      <c r="X39" s="387"/>
      <c r="Y39" s="387"/>
      <c r="Z39" s="387"/>
      <c r="AA39" s="333"/>
      <c r="AB39" s="333"/>
      <c r="AC39" s="333"/>
      <c r="AD39" s="333"/>
      <c r="AE39" s="333"/>
      <c r="AF39" s="333"/>
      <c r="AG39" s="333"/>
      <c r="AH39" s="387"/>
      <c r="AI39" s="387"/>
      <c r="AJ39" s="387"/>
      <c r="AK39" s="387"/>
      <c r="AL39" s="387"/>
      <c r="AM39" s="387"/>
      <c r="AN39" s="387"/>
      <c r="AO39" s="387"/>
      <c r="AP39" s="387"/>
      <c r="AQ39" s="387"/>
      <c r="AR39" s="387"/>
      <c r="AS39" s="387"/>
      <c r="AT39" s="387"/>
      <c r="AU39" s="333"/>
      <c r="AV39" s="333"/>
      <c r="AW39" s="333"/>
      <c r="AX39" s="333"/>
      <c r="AY39" s="333"/>
      <c r="AZ39" s="333"/>
      <c r="BA39" s="333"/>
    </row>
    <row r="40" spans="1:53" ht="13.5" customHeight="1" x14ac:dyDescent="0.2">
      <c r="A40" s="333"/>
      <c r="B40" s="333"/>
      <c r="C40" s="333"/>
      <c r="D40" s="333"/>
      <c r="E40" s="333"/>
      <c r="F40" s="333"/>
      <c r="G40" s="333"/>
      <c r="H40" s="333"/>
      <c r="I40" s="333"/>
      <c r="J40" s="333"/>
      <c r="K40" s="333"/>
      <c r="L40" s="336"/>
      <c r="M40" s="336"/>
      <c r="N40" s="336"/>
      <c r="O40" s="336" t="s">
        <v>17</v>
      </c>
      <c r="P40" s="333"/>
      <c r="Q40" s="387"/>
      <c r="R40" s="337"/>
      <c r="S40" s="333"/>
      <c r="T40" s="333"/>
      <c r="U40" s="333">
        <v>493.9</v>
      </c>
      <c r="V40" s="387"/>
      <c r="W40" s="387"/>
      <c r="X40" s="387"/>
      <c r="Y40" s="387"/>
      <c r="Z40" s="387"/>
      <c r="AA40" s="333"/>
      <c r="AB40" s="333"/>
      <c r="AC40" s="333"/>
      <c r="AD40" s="333"/>
      <c r="AE40" s="333"/>
      <c r="AF40" s="333"/>
      <c r="AG40" s="333"/>
      <c r="AH40" s="387"/>
      <c r="AI40" s="387"/>
      <c r="AJ40" s="387"/>
      <c r="AK40" s="387"/>
      <c r="AL40" s="387"/>
      <c r="AM40" s="387"/>
      <c r="AN40" s="387"/>
      <c r="AO40" s="387"/>
      <c r="AP40" s="387"/>
      <c r="AQ40" s="387"/>
      <c r="AR40" s="387"/>
      <c r="AS40" s="387"/>
      <c r="AT40" s="387"/>
      <c r="AU40" s="333"/>
      <c r="AV40" s="333"/>
      <c r="AW40" s="333"/>
      <c r="AX40" s="333"/>
      <c r="AY40" s="333"/>
      <c r="AZ40" s="333"/>
      <c r="BA40" s="333"/>
    </row>
    <row r="41" spans="1:53" ht="13.5" customHeight="1" x14ac:dyDescent="0.2">
      <c r="A41" s="333"/>
      <c r="B41" s="333"/>
      <c r="C41" s="333"/>
      <c r="D41" s="333"/>
      <c r="E41" s="333"/>
      <c r="F41" s="333"/>
      <c r="G41" s="333"/>
      <c r="H41" s="333"/>
      <c r="I41" s="333"/>
      <c r="J41" s="333"/>
      <c r="K41" s="333"/>
      <c r="L41" s="336"/>
      <c r="M41" s="336"/>
      <c r="N41" s="336"/>
      <c r="O41" s="336" t="s">
        <v>734</v>
      </c>
      <c r="P41" s="333"/>
      <c r="Q41" s="387"/>
      <c r="R41" s="337"/>
      <c r="S41" s="333"/>
      <c r="T41" s="333"/>
      <c r="U41" s="333">
        <v>987.8</v>
      </c>
      <c r="V41" s="387"/>
      <c r="W41" s="387"/>
      <c r="X41" s="387"/>
      <c r="Y41" s="387"/>
      <c r="Z41" s="387"/>
      <c r="AA41" s="333"/>
      <c r="AB41" s="333"/>
      <c r="AC41" s="333"/>
      <c r="AD41" s="333"/>
      <c r="AE41" s="333"/>
      <c r="AF41" s="333"/>
      <c r="AG41" s="333"/>
      <c r="AH41" s="387"/>
      <c r="AI41" s="387"/>
      <c r="AJ41" s="387"/>
      <c r="AK41" s="387"/>
      <c r="AL41" s="387"/>
      <c r="AM41" s="387"/>
      <c r="AN41" s="387"/>
      <c r="AO41" s="387"/>
      <c r="AP41" s="387"/>
      <c r="AQ41" s="387"/>
      <c r="AR41" s="387"/>
      <c r="AS41" s="387"/>
      <c r="AT41" s="387"/>
      <c r="AU41" s="333"/>
      <c r="AV41" s="333"/>
      <c r="AW41" s="333"/>
      <c r="AX41" s="333"/>
      <c r="AY41" s="333"/>
      <c r="AZ41" s="333"/>
      <c r="BA41" s="333"/>
    </row>
    <row r="42" spans="1:53" ht="13.5" customHeight="1" x14ac:dyDescent="0.2">
      <c r="A42" s="333"/>
      <c r="B42" s="333"/>
      <c r="C42" s="333"/>
      <c r="D42" s="333"/>
      <c r="E42" s="333"/>
      <c r="F42" s="333"/>
      <c r="G42" s="333"/>
      <c r="H42" s="333"/>
      <c r="I42" s="333"/>
      <c r="J42" s="333"/>
      <c r="K42" s="333"/>
      <c r="L42" s="336"/>
      <c r="M42" s="336"/>
      <c r="N42" s="336"/>
      <c r="O42" s="336" t="s">
        <v>760</v>
      </c>
      <c r="P42" s="333"/>
      <c r="Q42" s="387"/>
      <c r="R42" s="337"/>
      <c r="S42" s="333"/>
      <c r="T42" s="333"/>
      <c r="U42" s="333">
        <v>116.5</v>
      </c>
      <c r="V42" s="387"/>
      <c r="W42" s="387"/>
      <c r="X42" s="387"/>
      <c r="Y42" s="387"/>
      <c r="Z42" s="387"/>
      <c r="AA42" s="333"/>
      <c r="AB42" s="333"/>
      <c r="AC42" s="333"/>
      <c r="AD42" s="333"/>
      <c r="AE42" s="333"/>
      <c r="AF42" s="333"/>
      <c r="AG42" s="333"/>
      <c r="AH42" s="387"/>
      <c r="AI42" s="387"/>
      <c r="AJ42" s="387"/>
      <c r="AK42" s="387"/>
      <c r="AL42" s="387"/>
      <c r="AM42" s="387"/>
      <c r="AN42" s="387"/>
      <c r="AO42" s="387"/>
      <c r="AP42" s="387"/>
      <c r="AQ42" s="387"/>
      <c r="AR42" s="387"/>
      <c r="AS42" s="387"/>
      <c r="AT42" s="387"/>
      <c r="AU42" s="333"/>
      <c r="AV42" s="333"/>
      <c r="AW42" s="333"/>
      <c r="AX42" s="333"/>
      <c r="AY42" s="333"/>
      <c r="AZ42" s="333"/>
      <c r="BA42" s="333"/>
    </row>
    <row r="43" spans="1:53" ht="13.5" customHeight="1" x14ac:dyDescent="0.2">
      <c r="A43" s="335" t="s">
        <v>0</v>
      </c>
      <c r="B43" s="333"/>
      <c r="C43" s="333"/>
      <c r="D43" s="333"/>
      <c r="E43" s="333"/>
      <c r="F43" s="333"/>
      <c r="G43" s="333"/>
      <c r="H43" s="333"/>
      <c r="I43" s="333"/>
      <c r="J43" s="333"/>
      <c r="K43" s="333"/>
      <c r="L43" s="336"/>
      <c r="M43" s="336"/>
      <c r="N43" s="336"/>
      <c r="O43" s="336" t="s">
        <v>208</v>
      </c>
      <c r="P43" s="333"/>
      <c r="Q43" s="387"/>
      <c r="R43" s="337"/>
      <c r="S43" s="333"/>
      <c r="T43" s="333"/>
      <c r="U43" s="333">
        <v>233.1</v>
      </c>
      <c r="V43" s="387"/>
      <c r="W43" s="387"/>
      <c r="X43" s="387"/>
      <c r="Y43" s="387"/>
      <c r="Z43" s="387"/>
      <c r="AA43" s="333"/>
      <c r="AB43" s="333"/>
      <c r="AC43" s="333"/>
      <c r="AD43" s="333"/>
      <c r="AE43" s="333"/>
      <c r="AF43" s="333"/>
      <c r="AG43" s="333"/>
      <c r="AH43" s="387"/>
      <c r="AI43" s="387"/>
      <c r="AJ43" s="387"/>
      <c r="AK43" s="387"/>
      <c r="AL43" s="387"/>
      <c r="AM43" s="387"/>
      <c r="AN43" s="387"/>
      <c r="AO43" s="387"/>
      <c r="AP43" s="387"/>
      <c r="AQ43" s="387"/>
      <c r="AR43" s="387"/>
      <c r="AS43" s="387"/>
      <c r="AT43" s="387"/>
      <c r="AU43" s="333"/>
      <c r="AV43" s="333"/>
      <c r="AW43" s="333"/>
      <c r="AX43" s="333"/>
      <c r="AY43" s="333"/>
      <c r="AZ43" s="333"/>
      <c r="BA43" s="333"/>
    </row>
    <row r="44" spans="1:53" ht="13.5" customHeight="1" x14ac:dyDescent="0.2">
      <c r="A44" s="332"/>
      <c r="B44" s="332"/>
      <c r="C44" s="332"/>
      <c r="D44" s="332"/>
      <c r="E44" s="332"/>
      <c r="F44" s="332"/>
      <c r="G44" s="332"/>
      <c r="H44" s="333"/>
      <c r="I44" s="333"/>
      <c r="J44" s="333"/>
      <c r="K44" s="333"/>
      <c r="L44" s="336"/>
      <c r="M44" s="336"/>
      <c r="N44" s="336"/>
      <c r="O44" s="336" t="s">
        <v>16</v>
      </c>
      <c r="P44" s="333"/>
      <c r="Q44" s="387"/>
      <c r="R44" s="337"/>
      <c r="S44" s="333"/>
      <c r="T44" s="333"/>
      <c r="U44" s="333">
        <v>466.2</v>
      </c>
      <c r="V44" s="387"/>
      <c r="W44" s="387"/>
      <c r="X44" s="387"/>
      <c r="Y44" s="387"/>
      <c r="Z44" s="387"/>
      <c r="AA44" s="333"/>
      <c r="AB44" s="333"/>
      <c r="AC44" s="333"/>
      <c r="AD44" s="333"/>
      <c r="AE44" s="333"/>
      <c r="AF44" s="333"/>
      <c r="AG44" s="333"/>
      <c r="AH44" s="387"/>
      <c r="AI44" s="387"/>
      <c r="AJ44" s="387"/>
      <c r="AK44" s="387"/>
      <c r="AL44" s="387"/>
      <c r="AM44" s="387"/>
      <c r="AN44" s="387"/>
      <c r="AO44" s="387"/>
      <c r="AP44" s="387"/>
      <c r="AQ44" s="387"/>
      <c r="AR44" s="387"/>
      <c r="AS44" s="387"/>
      <c r="AT44" s="387"/>
      <c r="AU44" s="333"/>
      <c r="AV44" s="333"/>
      <c r="AW44" s="333"/>
      <c r="AX44" s="333"/>
      <c r="AY44" s="333"/>
      <c r="AZ44" s="333"/>
      <c r="BA44" s="333"/>
    </row>
    <row r="45" spans="1:53" ht="13.5" customHeight="1" x14ac:dyDescent="0.2">
      <c r="A45" s="396" t="s">
        <v>761</v>
      </c>
      <c r="B45" s="397"/>
      <c r="C45" s="397"/>
      <c r="D45" s="398"/>
      <c r="E45" s="398"/>
      <c r="F45" s="398"/>
      <c r="G45" s="398"/>
      <c r="H45" s="344"/>
      <c r="I45" s="333"/>
      <c r="J45" s="333"/>
      <c r="K45" s="333"/>
      <c r="L45" s="336"/>
      <c r="M45" s="336"/>
      <c r="N45" s="336"/>
      <c r="O45" s="336" t="s">
        <v>53</v>
      </c>
      <c r="P45" s="333"/>
      <c r="Q45" s="387"/>
      <c r="R45" s="337"/>
      <c r="S45" s="333"/>
      <c r="T45" s="333"/>
      <c r="U45" s="333">
        <v>932.3</v>
      </c>
      <c r="V45" s="387"/>
      <c r="W45" s="387"/>
      <c r="X45" s="387"/>
      <c r="Y45" s="387"/>
      <c r="Z45" s="387"/>
      <c r="AA45" s="333"/>
      <c r="AB45" s="333"/>
      <c r="AC45" s="333"/>
      <c r="AD45" s="333"/>
      <c r="AE45" s="333"/>
      <c r="AF45" s="333"/>
      <c r="AG45" s="333"/>
      <c r="AH45" s="387"/>
      <c r="AI45" s="387"/>
      <c r="AJ45" s="387"/>
      <c r="AK45" s="387"/>
      <c r="AL45" s="387"/>
      <c r="AM45" s="387"/>
      <c r="AN45" s="387"/>
      <c r="AO45" s="387"/>
      <c r="AP45" s="387"/>
      <c r="AQ45" s="387"/>
      <c r="AR45" s="387"/>
      <c r="AS45" s="387"/>
      <c r="AT45" s="387"/>
      <c r="AU45" s="333"/>
      <c r="AV45" s="333"/>
      <c r="AW45" s="333"/>
      <c r="AX45" s="333"/>
      <c r="AY45" s="333"/>
      <c r="AZ45" s="333"/>
      <c r="BA45" s="333"/>
    </row>
    <row r="46" spans="1:53" ht="13.5" customHeight="1" x14ac:dyDescent="0.2">
      <c r="A46" s="399" t="s">
        <v>762</v>
      </c>
      <c r="B46" s="400"/>
      <c r="C46" s="401"/>
      <c r="D46" s="401"/>
      <c r="E46" s="402"/>
      <c r="F46" s="401"/>
      <c r="G46" s="403"/>
      <c r="H46" s="344"/>
      <c r="I46" s="333"/>
      <c r="J46" s="333"/>
      <c r="K46" s="333"/>
      <c r="L46" s="336"/>
      <c r="M46" s="336"/>
      <c r="N46" s="336"/>
      <c r="O46" s="336" t="s">
        <v>763</v>
      </c>
      <c r="P46" s="333"/>
      <c r="Q46" s="387"/>
      <c r="R46" s="337"/>
      <c r="S46" s="333"/>
      <c r="T46" s="333"/>
      <c r="U46" s="333">
        <v>130.80000000000001</v>
      </c>
      <c r="V46" s="387"/>
      <c r="W46" s="387"/>
      <c r="X46" s="387"/>
      <c r="Y46" s="387"/>
      <c r="Z46" s="387"/>
      <c r="AA46" s="333"/>
      <c r="AB46" s="333"/>
      <c r="AC46" s="333"/>
      <c r="AD46" s="333"/>
      <c r="AE46" s="333"/>
      <c r="AF46" s="333"/>
      <c r="AG46" s="333"/>
      <c r="AH46" s="387"/>
      <c r="AI46" s="387"/>
      <c r="AJ46" s="387"/>
      <c r="AK46" s="387"/>
      <c r="AL46" s="387"/>
      <c r="AM46" s="387"/>
      <c r="AN46" s="387"/>
      <c r="AO46" s="387"/>
      <c r="AP46" s="387"/>
      <c r="AQ46" s="387"/>
      <c r="AR46" s="387"/>
      <c r="AS46" s="387"/>
      <c r="AT46" s="387"/>
      <c r="AU46" s="333"/>
      <c r="AV46" s="333"/>
      <c r="AW46" s="333"/>
      <c r="AX46" s="333"/>
      <c r="AY46" s="333"/>
      <c r="AZ46" s="333"/>
      <c r="BA46" s="333"/>
    </row>
    <row r="47" spans="1:53" ht="13.5" customHeight="1" x14ac:dyDescent="0.2">
      <c r="A47" s="814" t="s">
        <v>685</v>
      </c>
      <c r="B47" s="815"/>
      <c r="C47" s="816"/>
      <c r="D47" s="352"/>
      <c r="E47" s="352"/>
      <c r="F47" s="352"/>
      <c r="G47" s="352"/>
      <c r="H47" s="333"/>
      <c r="I47" s="333"/>
      <c r="J47" s="333"/>
      <c r="K47" s="333"/>
      <c r="L47" s="336"/>
      <c r="M47" s="336"/>
      <c r="N47" s="336"/>
      <c r="O47" s="336" t="s">
        <v>6</v>
      </c>
      <c r="P47" s="333"/>
      <c r="Q47" s="387"/>
      <c r="R47" s="337"/>
      <c r="S47" s="333"/>
      <c r="T47" s="333"/>
      <c r="U47" s="333">
        <v>261.60000000000002</v>
      </c>
      <c r="V47" s="387"/>
      <c r="W47" s="387"/>
      <c r="X47" s="387"/>
      <c r="Y47" s="387"/>
      <c r="Z47" s="387"/>
      <c r="AA47" s="333"/>
      <c r="AB47" s="333"/>
      <c r="AC47" s="333"/>
      <c r="AD47" s="333"/>
      <c r="AE47" s="333"/>
      <c r="AF47" s="333"/>
      <c r="AG47" s="333"/>
      <c r="AH47" s="387"/>
      <c r="AI47" s="387"/>
      <c r="AJ47" s="387"/>
      <c r="AK47" s="387"/>
      <c r="AL47" s="387"/>
      <c r="AM47" s="387"/>
      <c r="AN47" s="387"/>
      <c r="AO47" s="387"/>
      <c r="AP47" s="387"/>
      <c r="AQ47" s="387"/>
      <c r="AR47" s="387"/>
      <c r="AS47" s="387"/>
      <c r="AT47" s="387"/>
      <c r="AU47" s="333"/>
      <c r="AV47" s="333"/>
      <c r="AW47" s="333"/>
      <c r="AX47" s="333"/>
      <c r="AY47" s="333"/>
      <c r="AZ47" s="333"/>
      <c r="BA47" s="333"/>
    </row>
    <row r="48" spans="1:53" ht="18" customHeight="1" x14ac:dyDescent="0.25">
      <c r="A48" s="819" t="s">
        <v>718</v>
      </c>
      <c r="B48" s="818"/>
      <c r="C48" s="353" t="str">
        <f>LOOKUP($A$48,$K$4:$K$29,$AU$4:$AU$29)</f>
        <v>G 4</v>
      </c>
      <c r="D48" s="404" t="s">
        <v>764</v>
      </c>
      <c r="E48" s="333"/>
      <c r="F48" s="333"/>
      <c r="G48" s="333"/>
      <c r="H48" s="333"/>
      <c r="I48" s="333"/>
      <c r="J48" s="333"/>
      <c r="K48" s="333"/>
      <c r="L48" s="336"/>
      <c r="M48" s="336"/>
      <c r="N48" s="336"/>
      <c r="O48" s="336" t="s">
        <v>18</v>
      </c>
      <c r="P48" s="333"/>
      <c r="Q48" s="387"/>
      <c r="R48" s="337"/>
      <c r="S48" s="333"/>
      <c r="T48" s="333"/>
      <c r="U48" s="333">
        <v>523.29999999999995</v>
      </c>
      <c r="V48" s="387"/>
      <c r="W48" s="387"/>
      <c r="X48" s="387"/>
      <c r="Y48" s="387"/>
      <c r="Z48" s="387"/>
      <c r="AA48" s="333"/>
      <c r="AB48" s="333"/>
      <c r="AC48" s="333"/>
      <c r="AD48" s="333"/>
      <c r="AE48" s="333"/>
      <c r="AF48" s="333"/>
      <c r="AG48" s="333"/>
      <c r="AH48" s="387"/>
      <c r="AI48" s="387"/>
      <c r="AJ48" s="387"/>
      <c r="AK48" s="387"/>
      <c r="AL48" s="387"/>
      <c r="AM48" s="387"/>
      <c r="AN48" s="387"/>
      <c r="AO48" s="387"/>
      <c r="AP48" s="387"/>
      <c r="AQ48" s="387"/>
      <c r="AR48" s="387"/>
      <c r="AS48" s="387"/>
      <c r="AT48" s="387"/>
      <c r="AU48" s="333"/>
      <c r="AV48" s="333"/>
      <c r="AW48" s="333"/>
      <c r="AX48" s="333"/>
      <c r="AY48" s="333"/>
      <c r="AZ48" s="333"/>
      <c r="BA48" s="333"/>
    </row>
    <row r="49" spans="1:53" ht="13.5" customHeight="1" x14ac:dyDescent="0.2">
      <c r="A49" s="352"/>
      <c r="B49" s="352"/>
      <c r="C49" s="333"/>
      <c r="D49" s="333"/>
      <c r="E49" s="333"/>
      <c r="F49" s="333"/>
      <c r="G49" s="405" t="s">
        <v>765</v>
      </c>
      <c r="H49" s="333"/>
      <c r="I49" s="333"/>
      <c r="J49" s="333"/>
      <c r="K49" s="333"/>
      <c r="L49" s="336"/>
      <c r="M49" s="336"/>
      <c r="N49" s="336"/>
      <c r="O49" s="336" t="s">
        <v>737</v>
      </c>
      <c r="P49" s="333"/>
      <c r="Q49" s="387"/>
      <c r="R49" s="337"/>
      <c r="S49" s="333"/>
      <c r="T49" s="333"/>
      <c r="U49" s="333">
        <v>1047</v>
      </c>
      <c r="V49" s="387"/>
      <c r="W49" s="387"/>
      <c r="X49" s="387"/>
      <c r="Y49" s="387"/>
      <c r="Z49" s="387"/>
      <c r="AA49" s="333"/>
      <c r="AB49" s="333"/>
      <c r="AC49" s="333"/>
      <c r="AD49" s="333"/>
      <c r="AE49" s="333"/>
      <c r="AF49" s="333"/>
      <c r="AG49" s="333"/>
      <c r="AH49" s="387"/>
      <c r="AI49" s="387"/>
      <c r="AJ49" s="387"/>
      <c r="AK49" s="387"/>
      <c r="AL49" s="387"/>
      <c r="AM49" s="387"/>
      <c r="AN49" s="387"/>
      <c r="AO49" s="387"/>
      <c r="AP49" s="387"/>
      <c r="AQ49" s="387"/>
      <c r="AR49" s="387"/>
      <c r="AS49" s="387"/>
      <c r="AT49" s="387"/>
      <c r="AU49" s="333"/>
      <c r="AV49" s="333"/>
      <c r="AW49" s="333"/>
      <c r="AX49" s="333"/>
      <c r="AY49" s="333"/>
      <c r="AZ49" s="333"/>
      <c r="BA49" s="333"/>
    </row>
    <row r="50" spans="1:53" ht="13.5" customHeight="1" x14ac:dyDescent="0.2">
      <c r="A50" s="335" t="s">
        <v>766</v>
      </c>
      <c r="B50" s="369" t="s">
        <v>767</v>
      </c>
      <c r="C50" s="369" t="s">
        <v>768</v>
      </c>
      <c r="D50" s="369" t="s">
        <v>769</v>
      </c>
      <c r="E50" s="369" t="s">
        <v>770</v>
      </c>
      <c r="F50" s="369" t="s">
        <v>771</v>
      </c>
      <c r="G50" s="369" t="s">
        <v>772</v>
      </c>
      <c r="H50" s="333"/>
      <c r="I50" s="333"/>
      <c r="J50" s="333"/>
      <c r="K50" s="333"/>
      <c r="L50" s="336"/>
      <c r="M50" s="336"/>
      <c r="N50" s="336"/>
      <c r="O50" s="336" t="s">
        <v>773</v>
      </c>
      <c r="P50" s="333"/>
      <c r="Q50" s="387"/>
      <c r="R50" s="337"/>
      <c r="S50" s="333"/>
      <c r="T50" s="333"/>
      <c r="U50" s="333">
        <v>146.80000000000001</v>
      </c>
      <c r="V50" s="387"/>
      <c r="W50" s="387"/>
      <c r="X50" s="387"/>
      <c r="Y50" s="387"/>
      <c r="Z50" s="387"/>
      <c r="AA50" s="333"/>
      <c r="AB50" s="333"/>
      <c r="AC50" s="333"/>
      <c r="AD50" s="333"/>
      <c r="AE50" s="333"/>
      <c r="AF50" s="333"/>
      <c r="AG50" s="333"/>
      <c r="AH50" s="387"/>
      <c r="AI50" s="387"/>
      <c r="AJ50" s="387"/>
      <c r="AK50" s="387"/>
      <c r="AL50" s="387"/>
      <c r="AM50" s="387"/>
      <c r="AN50" s="387"/>
      <c r="AO50" s="387"/>
      <c r="AP50" s="387"/>
      <c r="AQ50" s="387"/>
      <c r="AR50" s="387"/>
      <c r="AS50" s="387"/>
      <c r="AT50" s="387"/>
      <c r="AU50" s="333"/>
      <c r="AV50" s="333"/>
      <c r="AW50" s="333"/>
      <c r="AX50" s="333"/>
      <c r="AY50" s="333"/>
      <c r="AZ50" s="333"/>
      <c r="BA50" s="333"/>
    </row>
    <row r="51" spans="1:53" ht="13.5" customHeight="1" x14ac:dyDescent="0.2">
      <c r="A51" s="360"/>
      <c r="B51" s="406">
        <v>14.65625</v>
      </c>
      <c r="C51" s="407">
        <v>0.875</v>
      </c>
      <c r="D51" s="408">
        <f>LOOKUP(C48,$O$31:$O$74,$U$31:$U$74)</f>
        <v>392</v>
      </c>
      <c r="E51" s="409">
        <v>72</v>
      </c>
      <c r="F51" s="407">
        <v>0.875</v>
      </c>
      <c r="G51" s="406">
        <v>0.1875</v>
      </c>
      <c r="H51" s="344"/>
      <c r="I51" s="333"/>
      <c r="J51" s="333"/>
      <c r="K51" s="333"/>
      <c r="L51" s="336"/>
      <c r="M51" s="336"/>
      <c r="N51" s="336"/>
      <c r="O51" s="336" t="s">
        <v>8</v>
      </c>
      <c r="P51" s="333"/>
      <c r="Q51" s="387"/>
      <c r="R51" s="337"/>
      <c r="S51" s="333"/>
      <c r="T51" s="333"/>
      <c r="U51" s="333">
        <v>293.7</v>
      </c>
      <c r="V51" s="387"/>
      <c r="W51" s="387"/>
      <c r="X51" s="387"/>
      <c r="Y51" s="387"/>
      <c r="Z51" s="387"/>
      <c r="AA51" s="333"/>
      <c r="AB51" s="333"/>
      <c r="AC51" s="333"/>
      <c r="AD51" s="333"/>
      <c r="AE51" s="333"/>
      <c r="AF51" s="333"/>
      <c r="AG51" s="333"/>
      <c r="AH51" s="387"/>
      <c r="AI51" s="387"/>
      <c r="AJ51" s="387"/>
      <c r="AK51" s="387"/>
      <c r="AL51" s="387"/>
      <c r="AM51" s="387"/>
      <c r="AN51" s="387"/>
      <c r="AO51" s="387"/>
      <c r="AP51" s="387"/>
      <c r="AQ51" s="387"/>
      <c r="AR51" s="387"/>
      <c r="AS51" s="387"/>
      <c r="AT51" s="387"/>
      <c r="AU51" s="333"/>
      <c r="AV51" s="333"/>
      <c r="AW51" s="333"/>
      <c r="AX51" s="333"/>
      <c r="AY51" s="333"/>
      <c r="AZ51" s="333"/>
      <c r="BA51" s="333"/>
    </row>
    <row r="52" spans="1:53" ht="13.5" customHeight="1" x14ac:dyDescent="0.2">
      <c r="A52" s="335" t="s">
        <v>774</v>
      </c>
      <c r="B52" s="367" t="s">
        <v>775</v>
      </c>
      <c r="C52" s="352"/>
      <c r="D52" s="410" t="s">
        <v>726</v>
      </c>
      <c r="E52" s="410" t="s">
        <v>729</v>
      </c>
      <c r="F52" s="410" t="s">
        <v>776</v>
      </c>
      <c r="G52" s="410" t="s">
        <v>777</v>
      </c>
      <c r="H52" s="333"/>
      <c r="I52" s="333"/>
      <c r="J52" s="333"/>
      <c r="K52" s="333"/>
      <c r="L52" s="336"/>
      <c r="M52" s="336"/>
      <c r="N52" s="336"/>
      <c r="O52" s="336" t="s">
        <v>20</v>
      </c>
      <c r="P52" s="333"/>
      <c r="Q52" s="387"/>
      <c r="R52" s="337"/>
      <c r="S52" s="333"/>
      <c r="T52" s="333"/>
      <c r="U52" s="333">
        <v>587.29999999999995</v>
      </c>
      <c r="V52" s="387"/>
      <c r="W52" s="387"/>
      <c r="X52" s="387"/>
      <c r="Y52" s="387"/>
      <c r="Z52" s="387"/>
      <c r="AA52" s="333"/>
      <c r="AB52" s="333"/>
      <c r="AC52" s="333"/>
      <c r="AD52" s="333"/>
      <c r="AE52" s="333"/>
      <c r="AF52" s="333"/>
      <c r="AG52" s="333"/>
      <c r="AH52" s="387"/>
      <c r="AI52" s="387"/>
      <c r="AJ52" s="387"/>
      <c r="AK52" s="387"/>
      <c r="AL52" s="387"/>
      <c r="AM52" s="387"/>
      <c r="AN52" s="387"/>
      <c r="AO52" s="387"/>
      <c r="AP52" s="387"/>
      <c r="AQ52" s="387"/>
      <c r="AR52" s="387"/>
      <c r="AS52" s="387"/>
      <c r="AT52" s="387"/>
      <c r="AU52" s="333"/>
      <c r="AV52" s="333"/>
      <c r="AW52" s="333"/>
      <c r="AX52" s="333"/>
      <c r="AY52" s="333"/>
      <c r="AZ52" s="333"/>
      <c r="BA52" s="333"/>
    </row>
    <row r="53" spans="1:53" ht="13.5" customHeight="1" x14ac:dyDescent="0.2">
      <c r="A53" s="360"/>
      <c r="B53" s="411">
        <v>0.1875</v>
      </c>
      <c r="C53" s="412"/>
      <c r="D53" s="372">
        <f>2*(SQRT(((PI()*(($C$51/2)^2))+(($F$51-$C$51)*$C$51))/PI()))</f>
        <v>0.875</v>
      </c>
      <c r="E53" s="372">
        <f>$D$53*(0.411-((0.065)/((0.42+(2*B53/$D$53))^0.54)))</f>
        <v>0.29747664025470333</v>
      </c>
      <c r="F53" s="372">
        <f>$C$55-E55-$E$53</f>
        <v>2.4720456976533614</v>
      </c>
      <c r="G53" s="372">
        <f>$F$51/2</f>
        <v>0.4375</v>
      </c>
      <c r="H53" s="344"/>
      <c r="I53" s="333"/>
      <c r="J53" s="333"/>
      <c r="K53" s="333"/>
      <c r="L53" s="336"/>
      <c r="M53" s="336"/>
      <c r="N53" s="336"/>
      <c r="O53" s="336" t="s">
        <v>740</v>
      </c>
      <c r="P53" s="333"/>
      <c r="Q53" s="387"/>
      <c r="R53" s="337"/>
      <c r="S53" s="333"/>
      <c r="T53" s="333"/>
      <c r="U53" s="333">
        <v>1175</v>
      </c>
      <c r="V53" s="387"/>
      <c r="W53" s="387"/>
      <c r="X53" s="387"/>
      <c r="Y53" s="387"/>
      <c r="Z53" s="387"/>
      <c r="AA53" s="333"/>
      <c r="AB53" s="333"/>
      <c r="AC53" s="333"/>
      <c r="AD53" s="333"/>
      <c r="AE53" s="333"/>
      <c r="AF53" s="333"/>
      <c r="AG53" s="333"/>
      <c r="AH53" s="387"/>
      <c r="AI53" s="387"/>
      <c r="AJ53" s="387"/>
      <c r="AK53" s="387"/>
      <c r="AL53" s="387"/>
      <c r="AM53" s="387"/>
      <c r="AN53" s="387"/>
      <c r="AO53" s="387"/>
      <c r="AP53" s="387"/>
      <c r="AQ53" s="387"/>
      <c r="AR53" s="387"/>
      <c r="AS53" s="387"/>
      <c r="AT53" s="387"/>
      <c r="AU53" s="333"/>
      <c r="AV53" s="333"/>
      <c r="AW53" s="333"/>
      <c r="AX53" s="333"/>
      <c r="AY53" s="333"/>
      <c r="AZ53" s="333"/>
      <c r="BA53" s="333"/>
    </row>
    <row r="54" spans="1:53" ht="13.5" customHeight="1" x14ac:dyDescent="0.2">
      <c r="A54" s="333"/>
      <c r="B54" s="410" t="s">
        <v>778</v>
      </c>
      <c r="C54" s="369" t="s">
        <v>693</v>
      </c>
      <c r="D54" s="413"/>
      <c r="E54" s="367" t="s">
        <v>779</v>
      </c>
      <c r="F54" s="410" t="s">
        <v>780</v>
      </c>
      <c r="G54" s="367" t="s">
        <v>781</v>
      </c>
      <c r="H54" s="333"/>
      <c r="I54" s="333"/>
      <c r="J54" s="333"/>
      <c r="K54" s="333"/>
      <c r="L54" s="336"/>
      <c r="M54" s="336"/>
      <c r="N54" s="336"/>
      <c r="O54" s="336" t="s">
        <v>782</v>
      </c>
      <c r="P54" s="333"/>
      <c r="Q54" s="387"/>
      <c r="R54" s="337"/>
      <c r="S54" s="333"/>
      <c r="T54" s="333"/>
      <c r="U54" s="333">
        <v>138.6</v>
      </c>
      <c r="V54" s="387"/>
      <c r="W54" s="387"/>
      <c r="X54" s="387"/>
      <c r="Y54" s="387"/>
      <c r="Z54" s="387"/>
      <c r="AA54" s="333"/>
      <c r="AB54" s="333"/>
      <c r="AC54" s="333"/>
      <c r="AD54" s="333"/>
      <c r="AE54" s="333"/>
      <c r="AF54" s="333"/>
      <c r="AG54" s="333"/>
      <c r="AH54" s="387"/>
      <c r="AI54" s="387"/>
      <c r="AJ54" s="387"/>
      <c r="AK54" s="387"/>
      <c r="AL54" s="387"/>
      <c r="AM54" s="387"/>
      <c r="AN54" s="387"/>
      <c r="AO54" s="387"/>
      <c r="AP54" s="387"/>
      <c r="AQ54" s="387"/>
      <c r="AR54" s="387"/>
      <c r="AS54" s="387"/>
      <c r="AT54" s="387"/>
      <c r="AU54" s="333"/>
      <c r="AV54" s="333"/>
      <c r="AW54" s="333"/>
      <c r="AX54" s="333"/>
      <c r="AY54" s="333"/>
      <c r="AZ54" s="333"/>
      <c r="BA54" s="333"/>
    </row>
    <row r="55" spans="1:53" ht="13.5" customHeight="1" x14ac:dyDescent="0.2">
      <c r="A55" s="360"/>
      <c r="B55" s="372">
        <f>12600.535*SQRT((E51+459.4)/459.4)</f>
        <v>13552.02719887961</v>
      </c>
      <c r="C55" s="361">
        <f>(B55/D51)/2</f>
        <v>17.285748978162768</v>
      </c>
      <c r="D55" s="412"/>
      <c r="E55" s="372">
        <f>$B$51-$C$51/2+$E$53</f>
        <v>14.516226640254704</v>
      </c>
      <c r="F55" s="414">
        <f>($B$51+$E$53)/$D$53</f>
        <v>17.089973303148234</v>
      </c>
      <c r="G55" s="414">
        <f>($B$51+$E$53)/$D$53^2</f>
        <v>19.531398060740838</v>
      </c>
      <c r="H55" s="344"/>
      <c r="I55" s="333"/>
      <c r="J55" s="333"/>
      <c r="K55" s="333"/>
      <c r="L55" s="336"/>
      <c r="M55" s="336"/>
      <c r="N55" s="336"/>
      <c r="O55" s="336" t="s">
        <v>7</v>
      </c>
      <c r="P55" s="333"/>
      <c r="Q55" s="387"/>
      <c r="R55" s="337"/>
      <c r="S55" s="333"/>
      <c r="T55" s="333"/>
      <c r="U55" s="333">
        <v>277.2</v>
      </c>
      <c r="V55" s="387"/>
      <c r="W55" s="387"/>
      <c r="X55" s="387"/>
      <c r="Y55" s="387"/>
      <c r="Z55" s="387"/>
      <c r="AA55" s="333"/>
      <c r="AB55" s="333"/>
      <c r="AC55" s="333"/>
      <c r="AD55" s="333"/>
      <c r="AE55" s="333"/>
      <c r="AF55" s="333"/>
      <c r="AG55" s="333"/>
      <c r="AH55" s="387"/>
      <c r="AI55" s="387"/>
      <c r="AJ55" s="387"/>
      <c r="AK55" s="387"/>
      <c r="AL55" s="387"/>
      <c r="AM55" s="387"/>
      <c r="AN55" s="387"/>
      <c r="AO55" s="387"/>
      <c r="AP55" s="387"/>
      <c r="AQ55" s="387"/>
      <c r="AR55" s="387"/>
      <c r="AS55" s="387"/>
      <c r="AT55" s="387"/>
      <c r="AU55" s="333"/>
      <c r="AV55" s="333"/>
      <c r="AW55" s="333"/>
      <c r="AX55" s="333"/>
      <c r="AY55" s="333"/>
      <c r="AZ55" s="333"/>
      <c r="BA55" s="333"/>
    </row>
    <row r="56" spans="1:53" ht="13.5" customHeight="1" x14ac:dyDescent="0.2">
      <c r="A56" s="333"/>
      <c r="B56" s="352"/>
      <c r="C56" s="352"/>
      <c r="D56" s="333"/>
      <c r="E56" s="415"/>
      <c r="F56" s="415"/>
      <c r="G56" s="352"/>
      <c r="H56" s="333"/>
      <c r="I56" s="333"/>
      <c r="J56" s="333"/>
      <c r="K56" s="333"/>
      <c r="L56" s="336"/>
      <c r="M56" s="336"/>
      <c r="N56" s="336"/>
      <c r="O56" s="336" t="s">
        <v>19</v>
      </c>
      <c r="P56" s="333"/>
      <c r="Q56" s="387"/>
      <c r="R56" s="337"/>
      <c r="S56" s="333"/>
      <c r="T56" s="333"/>
      <c r="U56" s="333">
        <v>554.4</v>
      </c>
      <c r="V56" s="387"/>
      <c r="W56" s="387"/>
      <c r="X56" s="387"/>
      <c r="Y56" s="387"/>
      <c r="Z56" s="387"/>
      <c r="AA56" s="333"/>
      <c r="AB56" s="333"/>
      <c r="AC56" s="333"/>
      <c r="AD56" s="333"/>
      <c r="AE56" s="333"/>
      <c r="AF56" s="333"/>
      <c r="AG56" s="333"/>
      <c r="AH56" s="387"/>
      <c r="AI56" s="387"/>
      <c r="AJ56" s="387"/>
      <c r="AK56" s="387"/>
      <c r="AL56" s="387"/>
      <c r="AM56" s="387"/>
      <c r="AN56" s="387"/>
      <c r="AO56" s="387"/>
      <c r="AP56" s="387"/>
      <c r="AQ56" s="387"/>
      <c r="AR56" s="387"/>
      <c r="AS56" s="387"/>
      <c r="AT56" s="387"/>
      <c r="AU56" s="333"/>
      <c r="AV56" s="333"/>
      <c r="AW56" s="333"/>
      <c r="AX56" s="333"/>
      <c r="AY56" s="333"/>
      <c r="AZ56" s="333"/>
      <c r="BA56" s="333"/>
    </row>
    <row r="57" spans="1:53" ht="13.5" customHeight="1" x14ac:dyDescent="0.2">
      <c r="A57" s="332"/>
      <c r="B57" s="335" t="s">
        <v>0</v>
      </c>
      <c r="C57" s="333"/>
      <c r="D57" s="333"/>
      <c r="E57" s="377" t="s">
        <v>0</v>
      </c>
      <c r="F57" s="416"/>
      <c r="G57" s="333"/>
      <c r="H57" s="333"/>
      <c r="I57" s="333"/>
      <c r="J57" s="333"/>
      <c r="K57" s="333"/>
      <c r="L57" s="336"/>
      <c r="M57" s="336"/>
      <c r="N57" s="336"/>
      <c r="O57" s="336" t="s">
        <v>214</v>
      </c>
      <c r="P57" s="333"/>
      <c r="Q57" s="387"/>
      <c r="R57" s="337"/>
      <c r="S57" s="333"/>
      <c r="T57" s="333"/>
      <c r="U57" s="333">
        <v>1109</v>
      </c>
      <c r="V57" s="387"/>
      <c r="W57" s="387"/>
      <c r="X57" s="387"/>
      <c r="Y57" s="387"/>
      <c r="Z57" s="387"/>
      <c r="AA57" s="333"/>
      <c r="AB57" s="333"/>
      <c r="AC57" s="333"/>
      <c r="AD57" s="333"/>
      <c r="AE57" s="333"/>
      <c r="AF57" s="333"/>
      <c r="AG57" s="333"/>
      <c r="AH57" s="387"/>
      <c r="AI57" s="387"/>
      <c r="AJ57" s="387"/>
      <c r="AK57" s="387"/>
      <c r="AL57" s="387"/>
      <c r="AM57" s="387"/>
      <c r="AN57" s="387"/>
      <c r="AO57" s="387"/>
      <c r="AP57" s="387"/>
      <c r="AQ57" s="387"/>
      <c r="AR57" s="387"/>
      <c r="AS57" s="387"/>
      <c r="AT57" s="387"/>
      <c r="AU57" s="333"/>
      <c r="AV57" s="333"/>
      <c r="AW57" s="333"/>
      <c r="AX57" s="333"/>
      <c r="AY57" s="333"/>
      <c r="AZ57" s="333"/>
      <c r="BA57" s="333"/>
    </row>
    <row r="58" spans="1:53" ht="13.5" customHeight="1" x14ac:dyDescent="0.2">
      <c r="A58" s="417" t="s">
        <v>783</v>
      </c>
      <c r="B58" s="418">
        <v>1</v>
      </c>
      <c r="C58" s="419">
        <v>2</v>
      </c>
      <c r="D58" s="419">
        <v>3</v>
      </c>
      <c r="E58" s="419">
        <v>4</v>
      </c>
      <c r="F58" s="420">
        <v>5</v>
      </c>
      <c r="G58" s="419">
        <v>6</v>
      </c>
      <c r="H58" s="333"/>
      <c r="I58" s="333"/>
      <c r="J58" s="333"/>
      <c r="K58" s="333"/>
      <c r="L58" s="336"/>
      <c r="M58" s="336"/>
      <c r="N58" s="336"/>
      <c r="O58" s="336" t="s">
        <v>784</v>
      </c>
      <c r="P58" s="333"/>
      <c r="Q58" s="387"/>
      <c r="R58" s="337"/>
      <c r="S58" s="333"/>
      <c r="T58" s="333"/>
      <c r="U58" s="333">
        <v>164.8</v>
      </c>
      <c r="V58" s="387"/>
      <c r="W58" s="387"/>
      <c r="X58" s="387"/>
      <c r="Y58" s="387"/>
      <c r="Z58" s="387"/>
      <c r="AA58" s="333"/>
      <c r="AB58" s="333"/>
      <c r="AC58" s="333"/>
      <c r="AD58" s="333"/>
      <c r="AE58" s="333"/>
      <c r="AF58" s="333"/>
      <c r="AG58" s="333"/>
      <c r="AH58" s="387"/>
      <c r="AI58" s="387"/>
      <c r="AJ58" s="387"/>
      <c r="AK58" s="387"/>
      <c r="AL58" s="387"/>
      <c r="AM58" s="387"/>
      <c r="AN58" s="387"/>
      <c r="AO58" s="387"/>
      <c r="AP58" s="387"/>
      <c r="AQ58" s="387"/>
      <c r="AR58" s="387"/>
      <c r="AS58" s="387"/>
      <c r="AT58" s="387"/>
      <c r="AU58" s="333"/>
      <c r="AV58" s="333"/>
      <c r="AW58" s="333"/>
      <c r="AX58" s="333"/>
      <c r="AY58" s="333"/>
      <c r="AZ58" s="333"/>
      <c r="BA58" s="333"/>
    </row>
    <row r="59" spans="1:53" ht="13.5" customHeight="1" x14ac:dyDescent="0.2">
      <c r="A59" s="367" t="s">
        <v>785</v>
      </c>
      <c r="B59" s="421" t="str">
        <f>LOOKUP($A$48,$K$4:$K$29,$AV$4:$AV$29)</f>
        <v>Bb 4</v>
      </c>
      <c r="C59" s="421" t="str">
        <f>LOOKUP($A$48,$K$4:$K$29,$AW$4:$AW$29)</f>
        <v>C 5</v>
      </c>
      <c r="D59" s="421" t="str">
        <f>LOOKUP($A$48,$K$4:$K$29,$AX$4:$AX$29)</f>
        <v>D 5</v>
      </c>
      <c r="E59" s="421" t="str">
        <f>LOOKUP($A$48,$K$4:$K$29,$AY$4:$AY$29)</f>
        <v>Eb 5</v>
      </c>
      <c r="F59" s="421" t="str">
        <f>LOOKUP($A$48,$K$4:$K$29,$AZ$4:$AZ$29)</f>
        <v>F 5</v>
      </c>
      <c r="G59" s="421" t="str">
        <f>LOOKUP($A$48,$K$4:$K$29,$BA$4:$BA$29)</f>
        <v>G 5</v>
      </c>
      <c r="H59" s="333"/>
      <c r="I59" s="333"/>
      <c r="J59" s="333"/>
      <c r="K59" s="333"/>
      <c r="L59" s="336"/>
      <c r="M59" s="336"/>
      <c r="N59" s="336"/>
      <c r="O59" s="336" t="s">
        <v>10</v>
      </c>
      <c r="P59" s="333"/>
      <c r="Q59" s="387"/>
      <c r="R59" s="337"/>
      <c r="S59" s="333"/>
      <c r="T59" s="333"/>
      <c r="U59" s="333">
        <v>329.6</v>
      </c>
      <c r="V59" s="387"/>
      <c r="W59" s="387"/>
      <c r="X59" s="387"/>
      <c r="Y59" s="387"/>
      <c r="Z59" s="387"/>
      <c r="AA59" s="333"/>
      <c r="AB59" s="333"/>
      <c r="AC59" s="333"/>
      <c r="AD59" s="333"/>
      <c r="AE59" s="333"/>
      <c r="AF59" s="333"/>
      <c r="AG59" s="333"/>
      <c r="AH59" s="387"/>
      <c r="AI59" s="387"/>
      <c r="AJ59" s="387"/>
      <c r="AK59" s="387"/>
      <c r="AL59" s="387"/>
      <c r="AM59" s="387"/>
      <c r="AN59" s="387"/>
      <c r="AO59" s="387"/>
      <c r="AP59" s="387"/>
      <c r="AQ59" s="387"/>
      <c r="AR59" s="387"/>
      <c r="AS59" s="387"/>
      <c r="AT59" s="387"/>
      <c r="AU59" s="333"/>
      <c r="AV59" s="333"/>
      <c r="AW59" s="333"/>
      <c r="AX59" s="333"/>
      <c r="AY59" s="333"/>
      <c r="AZ59" s="333"/>
      <c r="BA59" s="333"/>
    </row>
    <row r="60" spans="1:53" ht="13.5" customHeight="1" x14ac:dyDescent="0.2">
      <c r="A60" s="422" t="s">
        <v>250</v>
      </c>
      <c r="B60" s="423">
        <f t="shared" ref="B60:G60" si="3">LOOKUP(B59,$O$31:$O$74,$U$31:$U$74)</f>
        <v>466.2</v>
      </c>
      <c r="C60" s="424">
        <f t="shared" si="3"/>
        <v>523.29999999999995</v>
      </c>
      <c r="D60" s="424">
        <f t="shared" si="3"/>
        <v>587.29999999999995</v>
      </c>
      <c r="E60" s="424">
        <f t="shared" si="3"/>
        <v>622.29999999999995</v>
      </c>
      <c r="F60" s="424">
        <f t="shared" si="3"/>
        <v>698.5</v>
      </c>
      <c r="G60" s="424">
        <f t="shared" si="3"/>
        <v>784</v>
      </c>
      <c r="H60" s="333"/>
      <c r="I60" s="333"/>
      <c r="J60" s="333"/>
      <c r="K60" s="333"/>
      <c r="L60" s="336"/>
      <c r="M60" s="336"/>
      <c r="N60" s="336"/>
      <c r="O60" s="336" t="s">
        <v>210</v>
      </c>
      <c r="P60" s="333"/>
      <c r="Q60" s="387"/>
      <c r="R60" s="337"/>
      <c r="S60" s="333"/>
      <c r="T60" s="333"/>
      <c r="U60" s="333">
        <v>659.3</v>
      </c>
      <c r="V60" s="387"/>
      <c r="W60" s="387"/>
      <c r="X60" s="387"/>
      <c r="Y60" s="387"/>
      <c r="Z60" s="387"/>
      <c r="AA60" s="333"/>
      <c r="AB60" s="333"/>
      <c r="AC60" s="333"/>
      <c r="AD60" s="333"/>
      <c r="AE60" s="333"/>
      <c r="AF60" s="333"/>
      <c r="AG60" s="333"/>
      <c r="AH60" s="387"/>
      <c r="AI60" s="387"/>
      <c r="AJ60" s="387"/>
      <c r="AK60" s="387"/>
      <c r="AL60" s="387"/>
      <c r="AM60" s="387"/>
      <c r="AN60" s="387"/>
      <c r="AO60" s="387"/>
      <c r="AP60" s="387"/>
      <c r="AQ60" s="387"/>
      <c r="AR60" s="387"/>
      <c r="AS60" s="387"/>
      <c r="AT60" s="387"/>
      <c r="AU60" s="333"/>
      <c r="AV60" s="333"/>
      <c r="AW60" s="333"/>
      <c r="AX60" s="333"/>
      <c r="AY60" s="333"/>
      <c r="AZ60" s="333"/>
      <c r="BA60" s="333"/>
    </row>
    <row r="61" spans="1:53" ht="13.5" customHeight="1" x14ac:dyDescent="0.2">
      <c r="A61" s="425" t="s">
        <v>786</v>
      </c>
      <c r="B61" s="426">
        <f t="shared" ref="B61:G61" si="4">($B$55/B60)/2</f>
        <v>14.534563705362087</v>
      </c>
      <c r="C61" s="426">
        <f t="shared" si="4"/>
        <v>12.948621439785603</v>
      </c>
      <c r="D61" s="426">
        <f t="shared" si="4"/>
        <v>11.537567851932241</v>
      </c>
      <c r="E61" s="426">
        <f t="shared" si="4"/>
        <v>10.888660773645839</v>
      </c>
      <c r="F61" s="426">
        <f t="shared" si="4"/>
        <v>9.7008068710662929</v>
      </c>
      <c r="G61" s="426">
        <f t="shared" si="4"/>
        <v>8.6428744890813842</v>
      </c>
      <c r="H61" s="333"/>
      <c r="I61" s="333"/>
      <c r="J61" s="333"/>
      <c r="K61" s="333"/>
      <c r="L61" s="336"/>
      <c r="M61" s="336"/>
      <c r="N61" s="336"/>
      <c r="O61" s="336" t="s">
        <v>744</v>
      </c>
      <c r="P61" s="333"/>
      <c r="Q61" s="387"/>
      <c r="R61" s="337"/>
      <c r="S61" s="333"/>
      <c r="T61" s="333"/>
      <c r="U61" s="333">
        <v>1319</v>
      </c>
      <c r="V61" s="387"/>
      <c r="W61" s="387"/>
      <c r="X61" s="387"/>
      <c r="Y61" s="387"/>
      <c r="Z61" s="387"/>
      <c r="AA61" s="333"/>
      <c r="AB61" s="333"/>
      <c r="AC61" s="333"/>
      <c r="AD61" s="333"/>
      <c r="AE61" s="333"/>
      <c r="AF61" s="333"/>
      <c r="AG61" s="333"/>
      <c r="AH61" s="387"/>
      <c r="AI61" s="387"/>
      <c r="AJ61" s="387"/>
      <c r="AK61" s="387"/>
      <c r="AL61" s="387"/>
      <c r="AM61" s="387"/>
      <c r="AN61" s="387"/>
      <c r="AO61" s="387"/>
      <c r="AP61" s="387"/>
      <c r="AQ61" s="387"/>
      <c r="AR61" s="387"/>
      <c r="AS61" s="387"/>
      <c r="AT61" s="387"/>
      <c r="AU61" s="333"/>
      <c r="AV61" s="333"/>
      <c r="AW61" s="333"/>
      <c r="AX61" s="333"/>
      <c r="AY61" s="333"/>
      <c r="AZ61" s="333"/>
      <c r="BA61" s="333"/>
    </row>
    <row r="62" spans="1:53" ht="13.5" customHeight="1" x14ac:dyDescent="0.2">
      <c r="A62" s="417" t="s">
        <v>772</v>
      </c>
      <c r="B62" s="427">
        <f t="shared" ref="B62:G62" si="5">$G$51</f>
        <v>0.1875</v>
      </c>
      <c r="C62" s="428">
        <f t="shared" si="5"/>
        <v>0.1875</v>
      </c>
      <c r="D62" s="428">
        <f t="shared" si="5"/>
        <v>0.1875</v>
      </c>
      <c r="E62" s="428">
        <f t="shared" si="5"/>
        <v>0.1875</v>
      </c>
      <c r="F62" s="428">
        <f t="shared" si="5"/>
        <v>0.1875</v>
      </c>
      <c r="G62" s="428">
        <f t="shared" si="5"/>
        <v>0.1875</v>
      </c>
      <c r="H62" s="429"/>
      <c r="I62" s="333"/>
      <c r="J62" s="333"/>
      <c r="K62" s="333"/>
      <c r="L62" s="336"/>
      <c r="M62" s="336"/>
      <c r="N62" s="336"/>
      <c r="O62" s="336" t="s">
        <v>787</v>
      </c>
      <c r="P62" s="333"/>
      <c r="Q62" s="387"/>
      <c r="R62" s="337"/>
      <c r="S62" s="333"/>
      <c r="T62" s="333"/>
      <c r="U62" s="333">
        <v>155.6</v>
      </c>
      <c r="V62" s="387"/>
      <c r="W62" s="387"/>
      <c r="X62" s="387"/>
      <c r="Y62" s="387"/>
      <c r="Z62" s="387"/>
      <c r="AA62" s="333"/>
      <c r="AB62" s="333"/>
      <c r="AC62" s="333"/>
      <c r="AD62" s="333"/>
      <c r="AE62" s="333"/>
      <c r="AF62" s="333"/>
      <c r="AG62" s="333"/>
      <c r="AH62" s="387"/>
      <c r="AI62" s="387"/>
      <c r="AJ62" s="387"/>
      <c r="AK62" s="387"/>
      <c r="AL62" s="387"/>
      <c r="AM62" s="387"/>
      <c r="AN62" s="387"/>
      <c r="AO62" s="387"/>
      <c r="AP62" s="387"/>
      <c r="AQ62" s="387"/>
      <c r="AR62" s="387"/>
      <c r="AS62" s="387"/>
      <c r="AT62" s="387"/>
      <c r="AU62" s="333"/>
      <c r="AV62" s="333"/>
      <c r="AW62" s="333"/>
      <c r="AX62" s="333"/>
      <c r="AY62" s="333"/>
      <c r="AZ62" s="333"/>
      <c r="BA62" s="333"/>
    </row>
    <row r="63" spans="1:53" ht="13.5" customHeight="1" x14ac:dyDescent="0.2">
      <c r="A63" s="430" t="s">
        <v>788</v>
      </c>
      <c r="B63" s="431">
        <v>0.33</v>
      </c>
      <c r="C63" s="431">
        <v>0.33</v>
      </c>
      <c r="D63" s="431">
        <v>0.35</v>
      </c>
      <c r="E63" s="431">
        <v>0.33</v>
      </c>
      <c r="F63" s="431">
        <v>0.35</v>
      </c>
      <c r="G63" s="431">
        <v>0.3</v>
      </c>
      <c r="H63" s="344"/>
      <c r="I63" s="333"/>
      <c r="J63" s="333"/>
      <c r="K63" s="333"/>
      <c r="L63" s="336"/>
      <c r="M63" s="336"/>
      <c r="N63" s="336"/>
      <c r="O63" s="336" t="s">
        <v>9</v>
      </c>
      <c r="P63" s="333"/>
      <c r="Q63" s="387"/>
      <c r="R63" s="337"/>
      <c r="S63" s="333"/>
      <c r="T63" s="333"/>
      <c r="U63" s="333">
        <v>311.10000000000002</v>
      </c>
      <c r="V63" s="387"/>
      <c r="W63" s="387"/>
      <c r="X63" s="387"/>
      <c r="Y63" s="387"/>
      <c r="Z63" s="387"/>
      <c r="AA63" s="333"/>
      <c r="AB63" s="333"/>
      <c r="AC63" s="333"/>
      <c r="AD63" s="333"/>
      <c r="AE63" s="333"/>
      <c r="AF63" s="333"/>
      <c r="AG63" s="333"/>
      <c r="AH63" s="387"/>
      <c r="AI63" s="387"/>
      <c r="AJ63" s="387"/>
      <c r="AK63" s="387"/>
      <c r="AL63" s="387"/>
      <c r="AM63" s="387"/>
      <c r="AN63" s="387"/>
      <c r="AO63" s="387"/>
      <c r="AP63" s="387"/>
      <c r="AQ63" s="387"/>
      <c r="AR63" s="387"/>
      <c r="AS63" s="387"/>
      <c r="AT63" s="387"/>
      <c r="AU63" s="333"/>
      <c r="AV63" s="333"/>
      <c r="AW63" s="333"/>
      <c r="AX63" s="333"/>
      <c r="AY63" s="333"/>
      <c r="AZ63" s="333"/>
      <c r="BA63" s="333"/>
    </row>
    <row r="64" spans="1:53" ht="13.5" customHeight="1" x14ac:dyDescent="0.2">
      <c r="A64" s="417" t="s">
        <v>789</v>
      </c>
      <c r="B64" s="432"/>
      <c r="C64" s="385">
        <f>$C$86-$B$86</f>
        <v>1.1953171127307494</v>
      </c>
      <c r="D64" s="385">
        <f>$D$86-$C$86</f>
        <v>1.2470008047776666</v>
      </c>
      <c r="E64" s="385">
        <f>$E$86-$D$86</f>
        <v>1.1227116189175241</v>
      </c>
      <c r="F64" s="385">
        <f>$F$86-$E$86</f>
        <v>1.0000488496463866</v>
      </c>
      <c r="G64" s="385">
        <f>$G$86-$F$86</f>
        <v>0.98178857007888176</v>
      </c>
      <c r="H64" s="344"/>
      <c r="I64" s="333"/>
      <c r="J64" s="333"/>
      <c r="K64" s="333"/>
      <c r="L64" s="336"/>
      <c r="M64" s="336"/>
      <c r="N64" s="336"/>
      <c r="O64" s="336" t="s">
        <v>35</v>
      </c>
      <c r="P64" s="333"/>
      <c r="Q64" s="387"/>
      <c r="R64" s="337"/>
      <c r="S64" s="333"/>
      <c r="T64" s="333"/>
      <c r="U64" s="333">
        <v>622.29999999999995</v>
      </c>
      <c r="V64" s="387"/>
      <c r="W64" s="387"/>
      <c r="X64" s="387"/>
      <c r="Y64" s="387"/>
      <c r="Z64" s="387"/>
      <c r="AA64" s="333"/>
      <c r="AB64" s="333"/>
      <c r="AC64" s="333"/>
      <c r="AD64" s="333"/>
      <c r="AE64" s="333"/>
      <c r="AF64" s="333"/>
      <c r="AG64" s="333"/>
      <c r="AH64" s="387"/>
      <c r="AI64" s="387"/>
      <c r="AJ64" s="387"/>
      <c r="AK64" s="387"/>
      <c r="AL64" s="387"/>
      <c r="AM64" s="387"/>
      <c r="AN64" s="387"/>
      <c r="AO64" s="387"/>
      <c r="AP64" s="387"/>
      <c r="AQ64" s="387"/>
      <c r="AR64" s="387"/>
      <c r="AS64" s="387"/>
      <c r="AT64" s="387"/>
      <c r="AU64" s="333"/>
      <c r="AV64" s="333"/>
      <c r="AW64" s="333"/>
      <c r="AX64" s="333"/>
      <c r="AY64" s="333"/>
      <c r="AZ64" s="333"/>
      <c r="BA64" s="333"/>
    </row>
    <row r="65" spans="1:53" ht="13.5" customHeight="1" x14ac:dyDescent="0.2">
      <c r="A65" s="417" t="s">
        <v>790</v>
      </c>
      <c r="B65" s="366">
        <f>((ROUND((($B$86-ROUNDDOWN($B$86,0))*64),0))/64)+(ROUNDDOWN($B$86,0))</f>
        <v>4.515625</v>
      </c>
      <c r="C65" s="366">
        <f>((ROUND((($C$86-ROUNDDOWN($C$86,0))*64),0))/64)+(ROUNDDOWN($C$86,0))</f>
        <v>5.703125</v>
      </c>
      <c r="D65" s="366">
        <f>((ROUND((($D$86-ROUNDDOWN($D$86,0))*64),0))/64)+(ROUNDDOWN($D$86,0))</f>
        <v>6.953125</v>
      </c>
      <c r="E65" s="366">
        <f>((ROUND((($E$86-ROUNDDOWN($E$86,0))*64),0))/64)+(ROUNDDOWN($E$86,0))</f>
        <v>8.078125</v>
      </c>
      <c r="F65" s="366">
        <f>((ROUND((($F$86-ROUNDDOWN($F$86,0))*64),0))/64)+(ROUNDDOWN($F$86,0))</f>
        <v>9.078125</v>
      </c>
      <c r="G65" s="366">
        <f>((ROUND((($G$86-ROUNDDOWN($G$86,0))*64),0))/64)+(ROUNDDOWN($G$86,0))</f>
        <v>10.0625</v>
      </c>
      <c r="H65" s="344"/>
      <c r="I65" s="333"/>
      <c r="J65" s="333"/>
      <c r="K65" s="333"/>
      <c r="L65" s="336"/>
      <c r="M65" s="336"/>
      <c r="N65" s="336"/>
      <c r="O65" s="336" t="s">
        <v>247</v>
      </c>
      <c r="P65" s="333"/>
      <c r="Q65" s="387"/>
      <c r="R65" s="337"/>
      <c r="S65" s="333"/>
      <c r="T65" s="333"/>
      <c r="U65" s="333">
        <v>1245</v>
      </c>
      <c r="V65" s="387"/>
      <c r="W65" s="387"/>
      <c r="X65" s="387"/>
      <c r="Y65" s="387"/>
      <c r="Z65" s="387"/>
      <c r="AA65" s="333"/>
      <c r="AB65" s="333"/>
      <c r="AC65" s="333"/>
      <c r="AD65" s="333"/>
      <c r="AE65" s="333"/>
      <c r="AF65" s="333"/>
      <c r="AG65" s="333"/>
      <c r="AH65" s="387"/>
      <c r="AI65" s="387"/>
      <c r="AJ65" s="387"/>
      <c r="AK65" s="387"/>
      <c r="AL65" s="387"/>
      <c r="AM65" s="387"/>
      <c r="AN65" s="387"/>
      <c r="AO65" s="387"/>
      <c r="AP65" s="387"/>
      <c r="AQ65" s="387"/>
      <c r="AR65" s="387"/>
      <c r="AS65" s="387"/>
      <c r="AT65" s="387"/>
      <c r="AU65" s="333"/>
      <c r="AV65" s="333"/>
      <c r="AW65" s="333"/>
      <c r="AX65" s="333"/>
      <c r="AY65" s="333"/>
      <c r="AZ65" s="333"/>
      <c r="BA65" s="333"/>
    </row>
    <row r="66" spans="1:53" ht="13.5" customHeight="1" x14ac:dyDescent="0.2">
      <c r="A66" s="417" t="s">
        <v>791</v>
      </c>
      <c r="B66" s="433"/>
      <c r="C66" s="352"/>
      <c r="D66" s="352"/>
      <c r="E66" s="352"/>
      <c r="F66" s="352"/>
      <c r="G66" s="352"/>
      <c r="H66" s="333"/>
      <c r="I66" s="333"/>
      <c r="J66" s="333"/>
      <c r="K66" s="333"/>
      <c r="L66" s="336"/>
      <c r="M66" s="336"/>
      <c r="N66" s="336"/>
      <c r="O66" s="336" t="s">
        <v>792</v>
      </c>
      <c r="P66" s="333"/>
      <c r="Q66" s="387"/>
      <c r="R66" s="337"/>
      <c r="S66" s="333"/>
      <c r="T66" s="333"/>
      <c r="U66" s="333">
        <v>174.6</v>
      </c>
      <c r="V66" s="387"/>
      <c r="W66" s="387"/>
      <c r="X66" s="387"/>
      <c r="Y66" s="387"/>
      <c r="Z66" s="387"/>
      <c r="AA66" s="333"/>
      <c r="AB66" s="333"/>
      <c r="AC66" s="333"/>
      <c r="AD66" s="333"/>
      <c r="AE66" s="333"/>
      <c r="AF66" s="333"/>
      <c r="AG66" s="333"/>
      <c r="AH66" s="387"/>
      <c r="AI66" s="387"/>
      <c r="AJ66" s="387"/>
      <c r="AK66" s="387"/>
      <c r="AL66" s="387"/>
      <c r="AM66" s="387"/>
      <c r="AN66" s="387"/>
      <c r="AO66" s="387"/>
      <c r="AP66" s="387"/>
      <c r="AQ66" s="387"/>
      <c r="AR66" s="387"/>
      <c r="AS66" s="387"/>
      <c r="AT66" s="387"/>
      <c r="AU66" s="333"/>
      <c r="AV66" s="333"/>
      <c r="AW66" s="333"/>
      <c r="AX66" s="333"/>
      <c r="AY66" s="333"/>
      <c r="AZ66" s="333"/>
      <c r="BA66" s="333"/>
    </row>
    <row r="67" spans="1:53" ht="13.5" customHeight="1" x14ac:dyDescent="0.2">
      <c r="A67" s="434"/>
      <c r="B67" s="332"/>
      <c r="C67" s="332"/>
      <c r="D67" s="332"/>
      <c r="E67" s="332"/>
      <c r="F67" s="332"/>
      <c r="G67" s="332"/>
      <c r="H67" s="333"/>
      <c r="I67" s="333"/>
      <c r="J67" s="333"/>
      <c r="K67" s="333"/>
      <c r="L67" s="336"/>
      <c r="M67" s="336"/>
      <c r="N67" s="336"/>
      <c r="O67" s="336" t="s">
        <v>240</v>
      </c>
      <c r="P67" s="333"/>
      <c r="Q67" s="387"/>
      <c r="R67" s="337"/>
      <c r="S67" s="333"/>
      <c r="T67" s="333"/>
      <c r="U67" s="333">
        <v>349.2</v>
      </c>
      <c r="V67" s="387"/>
      <c r="W67" s="387"/>
      <c r="X67" s="387"/>
      <c r="Y67" s="387"/>
      <c r="Z67" s="387"/>
      <c r="AA67" s="333"/>
      <c r="AB67" s="333"/>
      <c r="AC67" s="333"/>
      <c r="AD67" s="333"/>
      <c r="AE67" s="333"/>
      <c r="AF67" s="333"/>
      <c r="AG67" s="333"/>
      <c r="AH67" s="387"/>
      <c r="AI67" s="387"/>
      <c r="AJ67" s="387"/>
      <c r="AK67" s="387"/>
      <c r="AL67" s="387"/>
      <c r="AM67" s="387"/>
      <c r="AN67" s="387"/>
      <c r="AO67" s="387"/>
      <c r="AP67" s="387"/>
      <c r="AQ67" s="387"/>
      <c r="AR67" s="387"/>
      <c r="AS67" s="387"/>
      <c r="AT67" s="387"/>
      <c r="AU67" s="333"/>
      <c r="AV67" s="333"/>
      <c r="AW67" s="333"/>
      <c r="AX67" s="333"/>
      <c r="AY67" s="333"/>
      <c r="AZ67" s="333"/>
      <c r="BA67" s="333"/>
    </row>
    <row r="68" spans="1:53" ht="13.5" customHeight="1" x14ac:dyDescent="0.2">
      <c r="A68" s="435" t="s">
        <v>793</v>
      </c>
      <c r="B68" s="436"/>
      <c r="C68" s="436"/>
      <c r="D68" s="436"/>
      <c r="E68" s="436"/>
      <c r="F68" s="436"/>
      <c r="G68" s="436"/>
      <c r="H68" s="344"/>
      <c r="I68" s="333"/>
      <c r="J68" s="333"/>
      <c r="K68" s="333"/>
      <c r="L68" s="336"/>
      <c r="M68" s="336"/>
      <c r="N68" s="336"/>
      <c r="O68" s="336" t="s">
        <v>211</v>
      </c>
      <c r="P68" s="333"/>
      <c r="Q68" s="387"/>
      <c r="R68" s="337"/>
      <c r="S68" s="333"/>
      <c r="T68" s="333"/>
      <c r="U68" s="333">
        <v>698.5</v>
      </c>
      <c r="V68" s="387"/>
      <c r="W68" s="387"/>
      <c r="X68" s="387"/>
      <c r="Y68" s="387"/>
      <c r="Z68" s="387"/>
      <c r="AA68" s="333"/>
      <c r="AB68" s="333"/>
      <c r="AC68" s="333"/>
      <c r="AD68" s="333"/>
      <c r="AE68" s="333"/>
      <c r="AF68" s="333"/>
      <c r="AG68" s="333"/>
      <c r="AH68" s="387"/>
      <c r="AI68" s="387"/>
      <c r="AJ68" s="387"/>
      <c r="AK68" s="387"/>
      <c r="AL68" s="387"/>
      <c r="AM68" s="387"/>
      <c r="AN68" s="387"/>
      <c r="AO68" s="387"/>
      <c r="AP68" s="387"/>
      <c r="AQ68" s="387"/>
      <c r="AR68" s="387"/>
      <c r="AS68" s="387"/>
      <c r="AT68" s="387"/>
      <c r="AU68" s="333"/>
      <c r="AV68" s="333"/>
      <c r="AW68" s="333"/>
      <c r="AX68" s="333"/>
      <c r="AY68" s="333"/>
      <c r="AZ68" s="333"/>
      <c r="BA68" s="333"/>
    </row>
    <row r="69" spans="1:53" ht="13.5" customHeight="1" x14ac:dyDescent="0.2">
      <c r="A69" s="352"/>
      <c r="B69" s="437"/>
      <c r="C69" s="437"/>
      <c r="D69" s="437"/>
      <c r="E69" s="437"/>
      <c r="F69" s="437"/>
      <c r="G69" s="437"/>
      <c r="H69" s="333"/>
      <c r="I69" s="333"/>
      <c r="J69" s="333"/>
      <c r="K69" s="333"/>
      <c r="L69" s="336"/>
      <c r="M69" s="336"/>
      <c r="N69" s="336"/>
      <c r="O69" s="336" t="s">
        <v>205</v>
      </c>
      <c r="P69" s="333"/>
      <c r="Q69" s="387"/>
      <c r="R69" s="337"/>
      <c r="S69" s="333"/>
      <c r="T69" s="333"/>
      <c r="U69" s="333">
        <v>196</v>
      </c>
      <c r="V69" s="387"/>
      <c r="W69" s="387"/>
      <c r="X69" s="387"/>
      <c r="Y69" s="387"/>
      <c r="Z69" s="387"/>
      <c r="AA69" s="333"/>
      <c r="AB69" s="333"/>
      <c r="AC69" s="333"/>
      <c r="AD69" s="333"/>
      <c r="AE69" s="333"/>
      <c r="AF69" s="333"/>
      <c r="AG69" s="333"/>
      <c r="AH69" s="387"/>
      <c r="AI69" s="387"/>
      <c r="AJ69" s="387"/>
      <c r="AK69" s="387"/>
      <c r="AL69" s="387"/>
      <c r="AM69" s="387"/>
      <c r="AN69" s="387"/>
      <c r="AO69" s="387"/>
      <c r="AP69" s="387"/>
      <c r="AQ69" s="387"/>
      <c r="AR69" s="387"/>
      <c r="AS69" s="387"/>
      <c r="AT69" s="387"/>
      <c r="AU69" s="333"/>
      <c r="AV69" s="333"/>
      <c r="AW69" s="333"/>
      <c r="AX69" s="333"/>
      <c r="AY69" s="333"/>
      <c r="AZ69" s="333"/>
      <c r="BA69" s="333"/>
    </row>
    <row r="70" spans="1:53" ht="13.5" customHeight="1" x14ac:dyDescent="0.2">
      <c r="A70" s="333"/>
      <c r="B70" s="332"/>
      <c r="C70" s="333"/>
      <c r="D70" s="332"/>
      <c r="E70" s="354" t="s">
        <v>794</v>
      </c>
      <c r="F70" s="359" t="s">
        <v>795</v>
      </c>
      <c r="G70" s="419"/>
      <c r="H70" s="333"/>
      <c r="I70" s="333"/>
      <c r="J70" s="333"/>
      <c r="K70" s="333"/>
      <c r="L70" s="336"/>
      <c r="M70" s="336"/>
      <c r="N70" s="336"/>
      <c r="O70" s="336" t="s">
        <v>13</v>
      </c>
      <c r="P70" s="333"/>
      <c r="Q70" s="387"/>
      <c r="R70" s="337"/>
      <c r="S70" s="333"/>
      <c r="T70" s="333"/>
      <c r="U70" s="333">
        <v>392</v>
      </c>
      <c r="V70" s="387"/>
      <c r="W70" s="387"/>
      <c r="X70" s="387"/>
      <c r="Y70" s="387"/>
      <c r="Z70" s="387"/>
      <c r="AA70" s="333"/>
      <c r="AB70" s="333"/>
      <c r="AC70" s="333"/>
      <c r="AD70" s="333"/>
      <c r="AE70" s="333"/>
      <c r="AF70" s="333"/>
      <c r="AG70" s="333"/>
      <c r="AH70" s="387"/>
      <c r="AI70" s="387"/>
      <c r="AJ70" s="387"/>
      <c r="AK70" s="387"/>
      <c r="AL70" s="387"/>
      <c r="AM70" s="387"/>
      <c r="AN70" s="387"/>
      <c r="AO70" s="387"/>
      <c r="AP70" s="387"/>
      <c r="AQ70" s="387"/>
      <c r="AR70" s="387"/>
      <c r="AS70" s="387"/>
      <c r="AT70" s="387"/>
      <c r="AU70" s="333"/>
      <c r="AV70" s="333"/>
      <c r="AW70" s="333"/>
      <c r="AX70" s="333"/>
      <c r="AY70" s="333"/>
      <c r="AZ70" s="333"/>
      <c r="BA70" s="333"/>
    </row>
    <row r="71" spans="1:53" ht="13.5" customHeight="1" x14ac:dyDescent="0.2">
      <c r="A71" s="438" t="s">
        <v>796</v>
      </c>
      <c r="B71" s="439">
        <v>72</v>
      </c>
      <c r="C71" s="440" t="s">
        <v>797</v>
      </c>
      <c r="D71" s="441">
        <v>440</v>
      </c>
      <c r="E71" s="442">
        <f t="shared" ref="E71:E72" si="6">12600.535*SQRT((B71+459.4)/459.4)</f>
        <v>13552.02719887961</v>
      </c>
      <c r="F71" s="443">
        <f>E71/D71</f>
        <v>30.800061815635477</v>
      </c>
      <c r="G71" s="350"/>
      <c r="H71" s="333"/>
      <c r="I71" s="333"/>
      <c r="J71" s="333"/>
      <c r="K71" s="333"/>
      <c r="L71" s="336"/>
      <c r="M71" s="336"/>
      <c r="N71" s="336"/>
      <c r="O71" s="336" t="s">
        <v>212</v>
      </c>
      <c r="P71" s="333"/>
      <c r="Q71" s="387"/>
      <c r="R71" s="337"/>
      <c r="S71" s="333"/>
      <c r="T71" s="333"/>
      <c r="U71" s="333">
        <v>784</v>
      </c>
      <c r="V71" s="387"/>
      <c r="W71" s="387"/>
      <c r="X71" s="387"/>
      <c r="Y71" s="387"/>
      <c r="Z71" s="387"/>
      <c r="AA71" s="333"/>
      <c r="AB71" s="333"/>
      <c r="AC71" s="333"/>
      <c r="AD71" s="333"/>
      <c r="AE71" s="333"/>
      <c r="AF71" s="333"/>
      <c r="AG71" s="333"/>
      <c r="AH71" s="387"/>
      <c r="AI71" s="387"/>
      <c r="AJ71" s="387"/>
      <c r="AK71" s="387"/>
      <c r="AL71" s="387"/>
      <c r="AM71" s="387"/>
      <c r="AN71" s="387"/>
      <c r="AO71" s="387"/>
      <c r="AP71" s="387"/>
      <c r="AQ71" s="387"/>
      <c r="AR71" s="387"/>
      <c r="AS71" s="387"/>
      <c r="AT71" s="387"/>
      <c r="AU71" s="333"/>
      <c r="AV71" s="333"/>
      <c r="AW71" s="333"/>
      <c r="AX71" s="333"/>
      <c r="AY71" s="333"/>
      <c r="AZ71" s="333"/>
      <c r="BA71" s="333"/>
    </row>
    <row r="72" spans="1:53" ht="13.5" customHeight="1" x14ac:dyDescent="0.2">
      <c r="A72" s="438" t="s">
        <v>798</v>
      </c>
      <c r="B72" s="439">
        <v>50</v>
      </c>
      <c r="C72" s="440" t="s">
        <v>799</v>
      </c>
      <c r="D72" s="444">
        <f>E72/F71</f>
        <v>430.79571194148798</v>
      </c>
      <c r="E72" s="442">
        <f t="shared" si="6"/>
        <v>13268.534557708525</v>
      </c>
      <c r="F72" s="443"/>
      <c r="G72" s="445"/>
      <c r="H72" s="333"/>
      <c r="I72" s="333"/>
      <c r="J72" s="333"/>
      <c r="K72" s="333"/>
      <c r="L72" s="336"/>
      <c r="M72" s="336"/>
      <c r="N72" s="336"/>
      <c r="O72" s="336" t="s">
        <v>800</v>
      </c>
      <c r="P72" s="333"/>
      <c r="Q72" s="387"/>
      <c r="R72" s="337"/>
      <c r="S72" s="333"/>
      <c r="T72" s="333"/>
      <c r="U72" s="333">
        <v>185</v>
      </c>
      <c r="V72" s="387"/>
      <c r="W72" s="387"/>
      <c r="X72" s="387"/>
      <c r="Y72" s="387"/>
      <c r="Z72" s="387"/>
      <c r="AA72" s="333"/>
      <c r="AB72" s="333"/>
      <c r="AC72" s="333"/>
      <c r="AD72" s="333"/>
      <c r="AE72" s="333"/>
      <c r="AF72" s="333"/>
      <c r="AG72" s="333"/>
      <c r="AH72" s="387"/>
      <c r="AI72" s="387"/>
      <c r="AJ72" s="387"/>
      <c r="AK72" s="387"/>
      <c r="AL72" s="387"/>
      <c r="AM72" s="387"/>
      <c r="AN72" s="387"/>
      <c r="AO72" s="387"/>
      <c r="AP72" s="387"/>
      <c r="AQ72" s="387"/>
      <c r="AR72" s="387"/>
      <c r="AS72" s="387"/>
      <c r="AT72" s="387"/>
      <c r="AU72" s="333"/>
      <c r="AV72" s="333"/>
      <c r="AW72" s="333"/>
      <c r="AX72" s="333"/>
      <c r="AY72" s="333"/>
      <c r="AZ72" s="333"/>
      <c r="BA72" s="333"/>
    </row>
    <row r="73" spans="1:53" ht="13.5" customHeight="1" x14ac:dyDescent="0.2">
      <c r="A73" s="446"/>
      <c r="B73" s="352"/>
      <c r="C73" s="447"/>
      <c r="D73" s="448"/>
      <c r="E73" s="447"/>
      <c r="F73" s="447"/>
      <c r="G73" s="445"/>
      <c r="H73" s="333"/>
      <c r="I73" s="333"/>
      <c r="J73" s="333"/>
      <c r="K73" s="333"/>
      <c r="L73" s="336"/>
      <c r="M73" s="336"/>
      <c r="N73" s="336"/>
      <c r="O73" s="336" t="s">
        <v>12</v>
      </c>
      <c r="P73" s="333"/>
      <c r="Q73" s="387"/>
      <c r="R73" s="337"/>
      <c r="S73" s="333"/>
      <c r="T73" s="333"/>
      <c r="U73" s="333">
        <v>370</v>
      </c>
      <c r="V73" s="387"/>
      <c r="W73" s="387"/>
      <c r="X73" s="387"/>
      <c r="Y73" s="387"/>
      <c r="Z73" s="387"/>
      <c r="AA73" s="333"/>
      <c r="AB73" s="333"/>
      <c r="AC73" s="333"/>
      <c r="AD73" s="333"/>
      <c r="AE73" s="333"/>
      <c r="AF73" s="333"/>
      <c r="AG73" s="333"/>
      <c r="AH73" s="387"/>
      <c r="AI73" s="387"/>
      <c r="AJ73" s="387"/>
      <c r="AK73" s="387"/>
      <c r="AL73" s="387"/>
      <c r="AM73" s="387"/>
      <c r="AN73" s="387"/>
      <c r="AO73" s="387"/>
      <c r="AP73" s="387"/>
      <c r="AQ73" s="387"/>
      <c r="AR73" s="387"/>
      <c r="AS73" s="387"/>
      <c r="AT73" s="387"/>
      <c r="AU73" s="333"/>
      <c r="AV73" s="333"/>
      <c r="AW73" s="333"/>
      <c r="AX73" s="333"/>
      <c r="AY73" s="333"/>
      <c r="AZ73" s="333"/>
      <c r="BA73" s="333"/>
    </row>
    <row r="74" spans="1:53" ht="13.5" customHeight="1" x14ac:dyDescent="0.2">
      <c r="A74" s="333"/>
      <c r="B74" s="333"/>
      <c r="C74" s="333"/>
      <c r="D74" s="335" t="s">
        <v>0</v>
      </c>
      <c r="E74" s="333"/>
      <c r="F74" s="335" t="s">
        <v>0</v>
      </c>
      <c r="G74" s="333"/>
      <c r="H74" s="333"/>
      <c r="I74" s="333"/>
      <c r="J74" s="333"/>
      <c r="K74" s="333"/>
      <c r="L74" s="336"/>
      <c r="M74" s="336"/>
      <c r="N74" s="336"/>
      <c r="O74" s="336" t="s">
        <v>45</v>
      </c>
      <c r="P74" s="333"/>
      <c r="Q74" s="387"/>
      <c r="R74" s="337"/>
      <c r="S74" s="333"/>
      <c r="T74" s="333"/>
      <c r="U74" s="333">
        <v>740</v>
      </c>
      <c r="V74" s="387"/>
      <c r="W74" s="387"/>
      <c r="X74" s="387"/>
      <c r="Y74" s="387"/>
      <c r="Z74" s="387"/>
      <c r="AA74" s="333"/>
      <c r="AB74" s="333"/>
      <c r="AC74" s="333"/>
      <c r="AD74" s="333"/>
      <c r="AE74" s="333"/>
      <c r="AF74" s="333"/>
      <c r="AG74" s="333"/>
      <c r="AH74" s="387"/>
      <c r="AI74" s="387"/>
      <c r="AJ74" s="387"/>
      <c r="AK74" s="387"/>
      <c r="AL74" s="387"/>
      <c r="AM74" s="387"/>
      <c r="AN74" s="387"/>
      <c r="AO74" s="387"/>
      <c r="AP74" s="387"/>
      <c r="AQ74" s="387"/>
      <c r="AR74" s="387"/>
      <c r="AS74" s="387"/>
      <c r="AT74" s="387"/>
      <c r="AU74" s="333"/>
      <c r="AV74" s="333"/>
      <c r="AW74" s="333"/>
      <c r="AX74" s="333"/>
      <c r="AY74" s="333"/>
      <c r="AZ74" s="333"/>
      <c r="BA74" s="333"/>
    </row>
    <row r="75" spans="1:53" ht="13.5" customHeight="1" x14ac:dyDescent="0.2">
      <c r="A75" s="333"/>
      <c r="B75" s="333"/>
      <c r="C75" s="333"/>
      <c r="D75" s="333"/>
      <c r="E75" s="333"/>
      <c r="F75" s="333"/>
      <c r="G75" s="333"/>
      <c r="H75" s="333"/>
      <c r="I75" s="333"/>
      <c r="J75" s="333"/>
      <c r="K75" s="333"/>
      <c r="L75" s="387"/>
      <c r="M75" s="387"/>
      <c r="N75" s="387"/>
      <c r="O75" s="387"/>
      <c r="P75" s="333"/>
      <c r="Q75" s="387"/>
      <c r="R75" s="337"/>
      <c r="S75" s="333"/>
      <c r="T75" s="333"/>
      <c r="U75" s="333"/>
      <c r="V75" s="387"/>
      <c r="W75" s="387"/>
      <c r="X75" s="387"/>
      <c r="Y75" s="387"/>
      <c r="Z75" s="387"/>
      <c r="AA75" s="333"/>
      <c r="AB75" s="333"/>
      <c r="AC75" s="333"/>
      <c r="AD75" s="333"/>
      <c r="AE75" s="333"/>
      <c r="AF75" s="333"/>
      <c r="AG75" s="333"/>
      <c r="AH75" s="387"/>
      <c r="AI75" s="387"/>
      <c r="AJ75" s="387"/>
      <c r="AK75" s="387"/>
      <c r="AL75" s="387"/>
      <c r="AM75" s="387"/>
      <c r="AN75" s="387"/>
      <c r="AO75" s="387"/>
      <c r="AP75" s="387"/>
      <c r="AQ75" s="387"/>
      <c r="AR75" s="387"/>
      <c r="AS75" s="387"/>
      <c r="AT75" s="387"/>
      <c r="AU75" s="333"/>
      <c r="AV75" s="333"/>
      <c r="AW75" s="333"/>
      <c r="AX75" s="333"/>
      <c r="AY75" s="333"/>
      <c r="AZ75" s="333"/>
      <c r="BA75" s="333"/>
    </row>
    <row r="76" spans="1:53" ht="13.5" customHeight="1" x14ac:dyDescent="0.2">
      <c r="A76" s="354" t="s">
        <v>801</v>
      </c>
      <c r="B76" s="383"/>
      <c r="C76" s="383"/>
      <c r="D76" s="383"/>
      <c r="E76" s="383"/>
      <c r="F76" s="383"/>
      <c r="G76" s="383"/>
      <c r="H76" s="333"/>
      <c r="I76" s="333"/>
      <c r="J76" s="333"/>
      <c r="K76" s="333"/>
      <c r="L76" s="387"/>
      <c r="M76" s="387"/>
      <c r="N76" s="387"/>
      <c r="O76" s="387"/>
      <c r="P76" s="333"/>
      <c r="Q76" s="387"/>
      <c r="R76" s="337"/>
      <c r="S76" s="333"/>
      <c r="T76" s="333"/>
      <c r="U76" s="333"/>
      <c r="V76" s="387"/>
      <c r="W76" s="387"/>
      <c r="X76" s="387"/>
      <c r="Y76" s="387"/>
      <c r="Z76" s="387"/>
      <c r="AA76" s="333"/>
      <c r="AB76" s="333"/>
      <c r="AC76" s="333"/>
      <c r="AD76" s="333"/>
      <c r="AE76" s="333"/>
      <c r="AF76" s="333"/>
      <c r="AG76" s="333"/>
      <c r="AH76" s="387"/>
      <c r="AI76" s="387"/>
      <c r="AJ76" s="387"/>
      <c r="AK76" s="387"/>
      <c r="AL76" s="387"/>
      <c r="AM76" s="387"/>
      <c r="AN76" s="387"/>
      <c r="AO76" s="387"/>
      <c r="AP76" s="387"/>
      <c r="AQ76" s="387"/>
      <c r="AR76" s="387"/>
      <c r="AS76" s="387"/>
      <c r="AT76" s="387"/>
      <c r="AU76" s="333"/>
      <c r="AV76" s="333"/>
      <c r="AW76" s="333"/>
      <c r="AX76" s="333"/>
      <c r="AY76" s="333"/>
      <c r="AZ76" s="333"/>
      <c r="BA76" s="333"/>
    </row>
    <row r="77" spans="1:53" ht="13.5" customHeight="1" x14ac:dyDescent="0.2">
      <c r="A77" s="354" t="s">
        <v>802</v>
      </c>
      <c r="B77" s="449">
        <f t="shared" ref="B77:G77" si="7">0.65-(0.45*(B63/$D$53))</f>
        <v>0.48028571428571432</v>
      </c>
      <c r="C77" s="449">
        <f t="shared" si="7"/>
        <v>0.48028571428571432</v>
      </c>
      <c r="D77" s="449">
        <f t="shared" si="7"/>
        <v>0.47000000000000003</v>
      </c>
      <c r="E77" s="449">
        <f t="shared" si="7"/>
        <v>0.48028571428571432</v>
      </c>
      <c r="F77" s="449">
        <f t="shared" si="7"/>
        <v>0.47000000000000003</v>
      </c>
      <c r="G77" s="449">
        <f t="shared" si="7"/>
        <v>0.49571428571428572</v>
      </c>
      <c r="H77" s="333"/>
      <c r="I77" s="333"/>
      <c r="J77" s="333"/>
      <c r="K77" s="333"/>
      <c r="L77" s="387"/>
      <c r="M77" s="387"/>
      <c r="N77" s="387"/>
      <c r="O77" s="387"/>
      <c r="P77" s="333"/>
      <c r="Q77" s="387"/>
      <c r="R77" s="337"/>
      <c r="S77" s="333"/>
      <c r="T77" s="333"/>
      <c r="U77" s="333"/>
      <c r="V77" s="387"/>
      <c r="W77" s="387"/>
      <c r="X77" s="387"/>
      <c r="Y77" s="387"/>
      <c r="Z77" s="387"/>
      <c r="AA77" s="333"/>
      <c r="AB77" s="333"/>
      <c r="AC77" s="333"/>
      <c r="AD77" s="333"/>
      <c r="AE77" s="333"/>
      <c r="AF77" s="333"/>
      <c r="AG77" s="333"/>
      <c r="AH77" s="387"/>
      <c r="AI77" s="387"/>
      <c r="AJ77" s="387"/>
      <c r="AK77" s="387"/>
      <c r="AL77" s="387"/>
      <c r="AM77" s="387"/>
      <c r="AN77" s="387"/>
      <c r="AO77" s="387"/>
      <c r="AP77" s="387"/>
      <c r="AQ77" s="387"/>
      <c r="AR77" s="387"/>
      <c r="AS77" s="387"/>
      <c r="AT77" s="387"/>
      <c r="AU77" s="333"/>
      <c r="AV77" s="333"/>
      <c r="AW77" s="333"/>
      <c r="AX77" s="333"/>
      <c r="AY77" s="333"/>
      <c r="AZ77" s="333"/>
      <c r="BA77" s="333"/>
    </row>
    <row r="78" spans="1:53" ht="13.5" customHeight="1" x14ac:dyDescent="0.2">
      <c r="A78" s="354" t="s">
        <v>803</v>
      </c>
      <c r="B78" s="449">
        <f t="shared" ref="B78:G78" si="8">0.32+(0.103*(LN(0.3*(($D$53+2*B62)/B63))))</f>
        <v>0.33316683726551816</v>
      </c>
      <c r="C78" s="449">
        <f t="shared" si="8"/>
        <v>0.33316683726551816</v>
      </c>
      <c r="D78" s="449">
        <f t="shared" si="8"/>
        <v>0.32710626576315599</v>
      </c>
      <c r="E78" s="449">
        <f t="shared" si="8"/>
        <v>0.33316683726551816</v>
      </c>
      <c r="F78" s="449">
        <f t="shared" si="8"/>
        <v>0.32710626576315599</v>
      </c>
      <c r="G78" s="449">
        <f t="shared" si="8"/>
        <v>0.34298378578536359</v>
      </c>
      <c r="H78" s="333"/>
      <c r="I78" s="333"/>
      <c r="J78" s="333"/>
      <c r="K78" s="333"/>
      <c r="L78" s="387"/>
      <c r="M78" s="387"/>
      <c r="N78" s="387"/>
      <c r="O78" s="387"/>
      <c r="P78" s="333"/>
      <c r="Q78" s="387"/>
      <c r="R78" s="337"/>
      <c r="S78" s="333"/>
      <c r="T78" s="333"/>
      <c r="U78" s="333"/>
      <c r="V78" s="387"/>
      <c r="W78" s="387"/>
      <c r="X78" s="387"/>
      <c r="Y78" s="387"/>
      <c r="Z78" s="387"/>
      <c r="AA78" s="333"/>
      <c r="AB78" s="333"/>
      <c r="AC78" s="333"/>
      <c r="AD78" s="333"/>
      <c r="AE78" s="333"/>
      <c r="AF78" s="333"/>
      <c r="AG78" s="333"/>
      <c r="AH78" s="387"/>
      <c r="AI78" s="387"/>
      <c r="AJ78" s="387"/>
      <c r="AK78" s="387"/>
      <c r="AL78" s="387"/>
      <c r="AM78" s="387"/>
      <c r="AN78" s="387"/>
      <c r="AO78" s="387"/>
      <c r="AP78" s="387"/>
      <c r="AQ78" s="387"/>
      <c r="AR78" s="387"/>
      <c r="AS78" s="387"/>
      <c r="AT78" s="387"/>
      <c r="AU78" s="333"/>
      <c r="AV78" s="333"/>
      <c r="AW78" s="333"/>
      <c r="AX78" s="333"/>
      <c r="AY78" s="333"/>
      <c r="AZ78" s="333"/>
      <c r="BA78" s="333"/>
    </row>
    <row r="79" spans="1:53" ht="13.5" customHeight="1" x14ac:dyDescent="0.2">
      <c r="A79" s="354" t="s">
        <v>804</v>
      </c>
      <c r="B79" s="449">
        <f t="shared" ref="B79:G79" si="9">(SQRT(($D$53+(2*B62))^2-B63^2)-$D$53)/2</f>
        <v>0.16532667492406139</v>
      </c>
      <c r="C79" s="449">
        <f t="shared" si="9"/>
        <v>0.16532667492406139</v>
      </c>
      <c r="D79" s="449">
        <f t="shared" si="9"/>
        <v>0.16249999999999998</v>
      </c>
      <c r="E79" s="449">
        <f t="shared" si="9"/>
        <v>0.16532667492406139</v>
      </c>
      <c r="F79" s="449">
        <f t="shared" si="9"/>
        <v>0.16249999999999998</v>
      </c>
      <c r="G79" s="449">
        <f t="shared" si="9"/>
        <v>0.16923305497557983</v>
      </c>
      <c r="H79" s="333"/>
      <c r="I79" s="333"/>
      <c r="J79" s="333"/>
      <c r="K79" s="333"/>
      <c r="L79" s="387"/>
      <c r="M79" s="387"/>
      <c r="N79" s="387"/>
      <c r="O79" s="387"/>
      <c r="P79" s="333"/>
      <c r="Q79" s="387"/>
      <c r="R79" s="337"/>
      <c r="S79" s="333"/>
      <c r="T79" s="333"/>
      <c r="U79" s="333"/>
      <c r="V79" s="387"/>
      <c r="W79" s="387"/>
      <c r="X79" s="387"/>
      <c r="Y79" s="387"/>
      <c r="Z79" s="387"/>
      <c r="AA79" s="333"/>
      <c r="AB79" s="333"/>
      <c r="AC79" s="333"/>
      <c r="AD79" s="333"/>
      <c r="AE79" s="333"/>
      <c r="AF79" s="333"/>
      <c r="AG79" s="333"/>
      <c r="AH79" s="387"/>
      <c r="AI79" s="387"/>
      <c r="AJ79" s="387"/>
      <c r="AK79" s="387"/>
      <c r="AL79" s="387"/>
      <c r="AM79" s="387"/>
      <c r="AN79" s="387"/>
      <c r="AO79" s="387"/>
      <c r="AP79" s="387"/>
      <c r="AQ79" s="387"/>
      <c r="AR79" s="387"/>
      <c r="AS79" s="387"/>
      <c r="AT79" s="387"/>
      <c r="AU79" s="333"/>
      <c r="AV79" s="333"/>
      <c r="AW79" s="333"/>
      <c r="AX79" s="333"/>
      <c r="AY79" s="333"/>
      <c r="AZ79" s="333"/>
      <c r="BA79" s="333"/>
    </row>
    <row r="80" spans="1:53" ht="13.5" customHeight="1" x14ac:dyDescent="0.2">
      <c r="A80" s="354" t="s">
        <v>805</v>
      </c>
      <c r="B80" s="449">
        <f t="shared" ref="B80:G80" si="10">B62</f>
        <v>0.1875</v>
      </c>
      <c r="C80" s="449">
        <f t="shared" si="10"/>
        <v>0.1875</v>
      </c>
      <c r="D80" s="449">
        <f t="shared" si="10"/>
        <v>0.1875</v>
      </c>
      <c r="E80" s="449">
        <f t="shared" si="10"/>
        <v>0.1875</v>
      </c>
      <c r="F80" s="449">
        <f t="shared" si="10"/>
        <v>0.1875</v>
      </c>
      <c r="G80" s="449">
        <f t="shared" si="10"/>
        <v>0.1875</v>
      </c>
      <c r="H80" s="333"/>
      <c r="I80" s="333"/>
      <c r="J80" s="333"/>
      <c r="K80" s="333"/>
      <c r="L80" s="387"/>
      <c r="M80" s="387"/>
      <c r="N80" s="387"/>
      <c r="O80" s="387"/>
      <c r="P80" s="333"/>
      <c r="Q80" s="387"/>
      <c r="R80" s="337"/>
      <c r="S80" s="333"/>
      <c r="T80" s="333"/>
      <c r="U80" s="333"/>
      <c r="V80" s="387"/>
      <c r="W80" s="387"/>
      <c r="X80" s="387"/>
      <c r="Y80" s="387"/>
      <c r="Z80" s="387"/>
      <c r="AA80" s="333"/>
      <c r="AB80" s="333"/>
      <c r="AC80" s="333"/>
      <c r="AD80" s="333"/>
      <c r="AE80" s="333"/>
      <c r="AF80" s="333"/>
      <c r="AG80" s="333"/>
      <c r="AH80" s="387"/>
      <c r="AI80" s="387"/>
      <c r="AJ80" s="387"/>
      <c r="AK80" s="387"/>
      <c r="AL80" s="387"/>
      <c r="AM80" s="387"/>
      <c r="AN80" s="387"/>
      <c r="AO80" s="387"/>
      <c r="AP80" s="387"/>
      <c r="AQ80" s="387"/>
      <c r="AR80" s="387"/>
      <c r="AS80" s="387"/>
      <c r="AT80" s="387"/>
      <c r="AU80" s="333"/>
      <c r="AV80" s="333"/>
      <c r="AW80" s="333"/>
      <c r="AX80" s="333"/>
      <c r="AY80" s="333"/>
      <c r="AZ80" s="333"/>
      <c r="BA80" s="333"/>
    </row>
    <row r="81" spans="1:53" ht="13.5" customHeight="1" x14ac:dyDescent="0.2">
      <c r="A81" s="354" t="s">
        <v>806</v>
      </c>
      <c r="B81" s="449">
        <f t="shared" ref="B81:G81" si="11">B63*(B77+B78)+B79</f>
        <v>0.43376601693596811</v>
      </c>
      <c r="C81" s="449">
        <f t="shared" si="11"/>
        <v>0.43376601693596811</v>
      </c>
      <c r="D81" s="449">
        <f t="shared" si="11"/>
        <v>0.44148719301710454</v>
      </c>
      <c r="E81" s="449">
        <f t="shared" si="11"/>
        <v>0.43376601693596811</v>
      </c>
      <c r="F81" s="449">
        <f t="shared" si="11"/>
        <v>0.44148719301710454</v>
      </c>
      <c r="G81" s="449">
        <f t="shared" si="11"/>
        <v>0.42084247642547462</v>
      </c>
      <c r="H81" s="333"/>
      <c r="I81" s="333"/>
      <c r="J81" s="333"/>
      <c r="K81" s="333"/>
      <c r="L81" s="387"/>
      <c r="M81" s="387"/>
      <c r="N81" s="387"/>
      <c r="O81" s="387"/>
      <c r="P81" s="333"/>
      <c r="Q81" s="387"/>
      <c r="R81" s="337"/>
      <c r="S81" s="333"/>
      <c r="T81" s="333"/>
      <c r="U81" s="333"/>
      <c r="V81" s="387"/>
      <c r="W81" s="387"/>
      <c r="X81" s="387"/>
      <c r="Y81" s="387"/>
      <c r="Z81" s="387"/>
      <c r="AA81" s="333"/>
      <c r="AB81" s="333"/>
      <c r="AC81" s="333"/>
      <c r="AD81" s="333"/>
      <c r="AE81" s="333"/>
      <c r="AF81" s="333"/>
      <c r="AG81" s="333"/>
      <c r="AH81" s="387"/>
      <c r="AI81" s="387"/>
      <c r="AJ81" s="387"/>
      <c r="AK81" s="387"/>
      <c r="AL81" s="387"/>
      <c r="AM81" s="387"/>
      <c r="AN81" s="387"/>
      <c r="AO81" s="387"/>
      <c r="AP81" s="387"/>
      <c r="AQ81" s="387"/>
      <c r="AR81" s="387"/>
      <c r="AS81" s="387"/>
      <c r="AT81" s="387"/>
      <c r="AU81" s="333"/>
      <c r="AV81" s="333"/>
      <c r="AW81" s="333"/>
      <c r="AX81" s="333"/>
      <c r="AY81" s="333"/>
      <c r="AZ81" s="333"/>
      <c r="BA81" s="333"/>
    </row>
    <row r="82" spans="1:53" ht="13.5" customHeight="1" x14ac:dyDescent="0.2">
      <c r="A82" s="354" t="s">
        <v>807</v>
      </c>
      <c r="B82" s="383">
        <f t="shared" ref="B82:G82" si="12">2*PI()/(B61*2)</f>
        <v>0.21614633347616741</v>
      </c>
      <c r="C82" s="383">
        <f t="shared" si="12"/>
        <v>0.24261985480068296</v>
      </c>
      <c r="D82" s="383">
        <f t="shared" si="12"/>
        <v>0.27229245313288958</v>
      </c>
      <c r="E82" s="383">
        <f t="shared" si="12"/>
        <v>0.28851965534581503</v>
      </c>
      <c r="F82" s="383">
        <f t="shared" si="12"/>
        <v>0.32384859273509853</v>
      </c>
      <c r="G82" s="383">
        <f t="shared" si="12"/>
        <v>0.36348932956953078</v>
      </c>
      <c r="H82" s="333"/>
      <c r="I82" s="333"/>
      <c r="J82" s="333"/>
      <c r="K82" s="333"/>
      <c r="L82" s="387"/>
      <c r="M82" s="387"/>
      <c r="N82" s="387"/>
      <c r="O82" s="387"/>
      <c r="P82" s="333"/>
      <c r="Q82" s="387"/>
      <c r="R82" s="337"/>
      <c r="S82" s="333"/>
      <c r="T82" s="333"/>
      <c r="U82" s="333"/>
      <c r="V82" s="387"/>
      <c r="W82" s="387"/>
      <c r="X82" s="387"/>
      <c r="Y82" s="387"/>
      <c r="Z82" s="387"/>
      <c r="AA82" s="333"/>
      <c r="AB82" s="333"/>
      <c r="AC82" s="333"/>
      <c r="AD82" s="333"/>
      <c r="AE82" s="333"/>
      <c r="AF82" s="333"/>
      <c r="AG82" s="333"/>
      <c r="AH82" s="387"/>
      <c r="AI82" s="387"/>
      <c r="AJ82" s="387"/>
      <c r="AK82" s="387"/>
      <c r="AL82" s="387"/>
      <c r="AM82" s="387"/>
      <c r="AN82" s="387"/>
      <c r="AO82" s="387"/>
      <c r="AP82" s="387"/>
      <c r="AQ82" s="387"/>
      <c r="AR82" s="387"/>
      <c r="AS82" s="387"/>
      <c r="AT82" s="387"/>
      <c r="AU82" s="333"/>
      <c r="AV82" s="333"/>
      <c r="AW82" s="333"/>
      <c r="AX82" s="333"/>
      <c r="AY82" s="333"/>
      <c r="AZ82" s="333"/>
      <c r="BA82" s="333"/>
    </row>
    <row r="83" spans="1:53" ht="13.5" customHeight="1" x14ac:dyDescent="0.2">
      <c r="A83" s="354" t="s">
        <v>808</v>
      </c>
      <c r="B83" s="449">
        <f>(-((((B63/$D$53)^2)*(1/(TAN(B82*B81)))))+(SQRT(((((B63/$D$53)^2)*(1/(TAN(B82*B81))))^2)-(4*(1-(((B63/$D$53)^2)*(1/(TAN(B82*B81)))*(1/(TAN(B82*$C$55)))))))))/2</f>
        <v>0.58851239421337542</v>
      </c>
      <c r="C83" s="449">
        <f t="shared" ref="C83:D83" si="13">(-((((C63/$D$53)^2)*(1/(TAN(C82*C81)))))+(SQRT(((((C63/$D$53)^2)*(1/(TAN(C82*C81))))^2)-(4*(1-(((C63/$D$53)^2)*(1/(TAN(C82*C81)))*(1/(TAN(C82*B61)))))))))/2</f>
        <v>0.99357326655352907</v>
      </c>
      <c r="D83" s="449">
        <f t="shared" si="13"/>
        <v>0.985344740302038</v>
      </c>
      <c r="E83" s="449">
        <f t="shared" ref="E83:F83" si="14">(-((((E63/$D$53)^2)*(1/(TAN(E82*E81)))))+(SQRT(((((E63/$D$53)^2)*(1/(TAN(E82*E81))))^2)-(4*(1-(((E63/$D$53)^2)*(1/(TAN(E82*E81)))*(1/(TAN(E82*C61)))))))))/2</f>
        <v>0.43088734220252267</v>
      </c>
      <c r="F83" s="449">
        <f t="shared" si="14"/>
        <v>0.41976187194331438</v>
      </c>
      <c r="G83" s="449">
        <f>(-((((G63/$D$53)^2)*(1/(TAN(G82*G81)))))+(SQRT(((((G63/$D$53)^2)*(1/(TAN(G82*G81))))^2)-(4*(1-(((G63/$D$53)^2)*(1/(TAN(G82*G81)))*(1/(TAN(G82*F61)))))))))/2</f>
        <v>0.63333736565418364</v>
      </c>
      <c r="H83" s="333"/>
      <c r="I83" s="333"/>
      <c r="J83" s="333"/>
      <c r="K83" s="333"/>
      <c r="L83" s="387"/>
      <c r="M83" s="387"/>
      <c r="N83" s="387"/>
      <c r="O83" s="387"/>
      <c r="P83" s="333"/>
      <c r="Q83" s="387"/>
      <c r="R83" s="337"/>
      <c r="S83" s="333"/>
      <c r="T83" s="333"/>
      <c r="U83" s="333"/>
      <c r="V83" s="387"/>
      <c r="W83" s="387"/>
      <c r="X83" s="387"/>
      <c r="Y83" s="387"/>
      <c r="Z83" s="387"/>
      <c r="AA83" s="333"/>
      <c r="AB83" s="333"/>
      <c r="AC83" s="333"/>
      <c r="AD83" s="333"/>
      <c r="AE83" s="333"/>
      <c r="AF83" s="333"/>
      <c r="AG83" s="333"/>
      <c r="AH83" s="387"/>
      <c r="AI83" s="387"/>
      <c r="AJ83" s="387"/>
      <c r="AK83" s="387"/>
      <c r="AL83" s="387"/>
      <c r="AM83" s="387"/>
      <c r="AN83" s="387"/>
      <c r="AO83" s="387"/>
      <c r="AP83" s="387"/>
      <c r="AQ83" s="387"/>
      <c r="AR83" s="387"/>
      <c r="AS83" s="387"/>
      <c r="AT83" s="387"/>
      <c r="AU83" s="333"/>
      <c r="AV83" s="333"/>
      <c r="AW83" s="333"/>
      <c r="AX83" s="333"/>
      <c r="AY83" s="333"/>
      <c r="AZ83" s="333"/>
      <c r="BA83" s="333"/>
    </row>
    <row r="84" spans="1:53" ht="13.5" customHeight="1" x14ac:dyDescent="0.2">
      <c r="A84" s="354" t="s">
        <v>809</v>
      </c>
      <c r="B84" s="383">
        <f t="shared" ref="B84:G84" si="15">(1/B82)*(ATAN(1/B83))</f>
        <v>4.8063106212370261</v>
      </c>
      <c r="C84" s="383">
        <f t="shared" si="15"/>
        <v>3.2504424611670948</v>
      </c>
      <c r="D84" s="383">
        <f t="shared" si="15"/>
        <v>2.9115010003682773</v>
      </c>
      <c r="E84" s="383">
        <f t="shared" si="15"/>
        <v>4.0342126192858005</v>
      </c>
      <c r="F84" s="383">
        <f t="shared" si="15"/>
        <v>3.6232078810788262</v>
      </c>
      <c r="G84" s="383">
        <f t="shared" si="15"/>
        <v>2.7682354702917604</v>
      </c>
      <c r="H84" s="333"/>
      <c r="I84" s="333"/>
      <c r="J84" s="333"/>
      <c r="K84" s="333"/>
      <c r="L84" s="387"/>
      <c r="M84" s="387"/>
      <c r="N84" s="387"/>
      <c r="O84" s="387"/>
      <c r="P84" s="333"/>
      <c r="Q84" s="387"/>
      <c r="R84" s="337"/>
      <c r="S84" s="333"/>
      <c r="T84" s="333"/>
      <c r="U84" s="333"/>
      <c r="V84" s="387"/>
      <c r="W84" s="387"/>
      <c r="X84" s="387"/>
      <c r="Y84" s="387"/>
      <c r="Z84" s="387"/>
      <c r="AA84" s="333"/>
      <c r="AB84" s="333"/>
      <c r="AC84" s="333"/>
      <c r="AD84" s="333"/>
      <c r="AE84" s="333"/>
      <c r="AF84" s="333"/>
      <c r="AG84" s="333"/>
      <c r="AH84" s="387"/>
      <c r="AI84" s="387"/>
      <c r="AJ84" s="387"/>
      <c r="AK84" s="387"/>
      <c r="AL84" s="387"/>
      <c r="AM84" s="387"/>
      <c r="AN84" s="387"/>
      <c r="AO84" s="387"/>
      <c r="AP84" s="387"/>
      <c r="AQ84" s="387"/>
      <c r="AR84" s="387"/>
      <c r="AS84" s="387"/>
      <c r="AT84" s="387"/>
      <c r="AU84" s="333"/>
      <c r="AV84" s="333"/>
      <c r="AW84" s="333"/>
      <c r="AX84" s="333"/>
      <c r="AY84" s="333"/>
      <c r="AZ84" s="333"/>
      <c r="BA84" s="333"/>
    </row>
    <row r="85" spans="1:53" ht="13.5" customHeight="1" x14ac:dyDescent="0.2">
      <c r="A85" s="354" t="s">
        <v>810</v>
      </c>
      <c r="B85" s="383"/>
      <c r="C85" s="450">
        <f t="shared" ref="C85:D85" si="16">C84-B88</f>
        <v>1.1953171127307498</v>
      </c>
      <c r="D85" s="450">
        <f t="shared" si="16"/>
        <v>1.2470008047776666</v>
      </c>
      <c r="E85" s="450">
        <f t="shared" ref="E85:F85" si="17">E84-C88</f>
        <v>2.3697124236951899</v>
      </c>
      <c r="F85" s="450">
        <f t="shared" si="17"/>
        <v>2.1227604685639103</v>
      </c>
      <c r="G85" s="450">
        <f>G84-F88</f>
        <v>0.98178857007888221</v>
      </c>
      <c r="H85" s="333"/>
      <c r="I85" s="333"/>
      <c r="J85" s="333"/>
      <c r="K85" s="333"/>
      <c r="L85" s="387"/>
      <c r="M85" s="387"/>
      <c r="N85" s="387"/>
      <c r="O85" s="387"/>
      <c r="P85" s="333"/>
      <c r="Q85" s="387"/>
      <c r="R85" s="337"/>
      <c r="S85" s="333"/>
      <c r="T85" s="333"/>
      <c r="U85" s="333"/>
      <c r="V85" s="387"/>
      <c r="W85" s="387"/>
      <c r="X85" s="387"/>
      <c r="Y85" s="387"/>
      <c r="Z85" s="387"/>
      <c r="AA85" s="333"/>
      <c r="AB85" s="333"/>
      <c r="AC85" s="333"/>
      <c r="AD85" s="333"/>
      <c r="AE85" s="333"/>
      <c r="AF85" s="333"/>
      <c r="AG85" s="333"/>
      <c r="AH85" s="387"/>
      <c r="AI85" s="387"/>
      <c r="AJ85" s="387"/>
      <c r="AK85" s="387"/>
      <c r="AL85" s="387"/>
      <c r="AM85" s="387"/>
      <c r="AN85" s="387"/>
      <c r="AO85" s="387"/>
      <c r="AP85" s="387"/>
      <c r="AQ85" s="387"/>
      <c r="AR85" s="387"/>
      <c r="AS85" s="387"/>
      <c r="AT85" s="387"/>
      <c r="AU85" s="333"/>
      <c r="AV85" s="333"/>
      <c r="AW85" s="333"/>
      <c r="AX85" s="333"/>
      <c r="AY85" s="333"/>
      <c r="AZ85" s="333"/>
      <c r="BA85" s="333"/>
    </row>
    <row r="86" spans="1:53" ht="13.5" customHeight="1" x14ac:dyDescent="0.2">
      <c r="A86" s="354" t="s">
        <v>811</v>
      </c>
      <c r="B86" s="450">
        <f>B84-$E$53</f>
        <v>4.508833980982323</v>
      </c>
      <c r="C86" s="450">
        <f t="shared" ref="C86:D86" si="18">B86+C85</f>
        <v>5.7041510937130724</v>
      </c>
      <c r="D86" s="450">
        <f t="shared" si="18"/>
        <v>6.951151898490739</v>
      </c>
      <c r="E86" s="450">
        <f t="shared" ref="E86:F86" si="19">C86+E85</f>
        <v>8.0738635174082631</v>
      </c>
      <c r="F86" s="450">
        <f t="shared" si="19"/>
        <v>9.0739123670546498</v>
      </c>
      <c r="G86" s="450">
        <f>F86+G85</f>
        <v>10.055700937133532</v>
      </c>
      <c r="H86" s="333"/>
      <c r="I86" s="333"/>
      <c r="J86" s="333"/>
      <c r="K86" s="333"/>
      <c r="L86" s="387"/>
      <c r="M86" s="387"/>
      <c r="N86" s="387"/>
      <c r="O86" s="387"/>
      <c r="P86" s="333"/>
      <c r="Q86" s="387"/>
      <c r="R86" s="337"/>
      <c r="S86" s="333"/>
      <c r="T86" s="333"/>
      <c r="U86" s="333"/>
      <c r="V86" s="387"/>
      <c r="W86" s="387"/>
      <c r="X86" s="387"/>
      <c r="Y86" s="387"/>
      <c r="Z86" s="387"/>
      <c r="AA86" s="333"/>
      <c r="AB86" s="333"/>
      <c r="AC86" s="333"/>
      <c r="AD86" s="333"/>
      <c r="AE86" s="333"/>
      <c r="AF86" s="333"/>
      <c r="AG86" s="333"/>
      <c r="AH86" s="387"/>
      <c r="AI86" s="387"/>
      <c r="AJ86" s="387"/>
      <c r="AK86" s="387"/>
      <c r="AL86" s="387"/>
      <c r="AM86" s="387"/>
      <c r="AN86" s="387"/>
      <c r="AO86" s="387"/>
      <c r="AP86" s="387"/>
      <c r="AQ86" s="387"/>
      <c r="AR86" s="387"/>
      <c r="AS86" s="387"/>
      <c r="AT86" s="387"/>
      <c r="AU86" s="333"/>
      <c r="AV86" s="333"/>
      <c r="AW86" s="333"/>
      <c r="AX86" s="333"/>
      <c r="AY86" s="333"/>
      <c r="AZ86" s="333"/>
      <c r="BA86" s="333"/>
    </row>
    <row r="87" spans="1:53" ht="13.5" customHeight="1" x14ac:dyDescent="0.2">
      <c r="A87" s="354" t="s">
        <v>812</v>
      </c>
      <c r="B87" s="443">
        <f>$C$55-B84</f>
        <v>12.479438356925742</v>
      </c>
      <c r="C87" s="450">
        <f t="shared" ref="C87:D87" si="20">B61-C84</f>
        <v>11.284121244194992</v>
      </c>
      <c r="D87" s="450">
        <f t="shared" si="20"/>
        <v>10.037120439417325</v>
      </c>
      <c r="E87" s="450">
        <f t="shared" ref="E87:F87" si="21">C61-E84</f>
        <v>8.9144088204998013</v>
      </c>
      <c r="F87" s="450">
        <f t="shared" si="21"/>
        <v>7.9143599708534147</v>
      </c>
      <c r="G87" s="450">
        <f>F61-G84</f>
        <v>6.9325714007745329</v>
      </c>
      <c r="H87" s="333"/>
      <c r="I87" s="333"/>
      <c r="J87" s="333"/>
      <c r="K87" s="333"/>
      <c r="L87" s="387"/>
      <c r="M87" s="387"/>
      <c r="N87" s="387"/>
      <c r="O87" s="387"/>
      <c r="P87" s="333"/>
      <c r="Q87" s="387"/>
      <c r="R87" s="337"/>
      <c r="S87" s="333"/>
      <c r="T87" s="333"/>
      <c r="U87" s="333"/>
      <c r="V87" s="387"/>
      <c r="W87" s="387"/>
      <c r="X87" s="387"/>
      <c r="Y87" s="387"/>
      <c r="Z87" s="387"/>
      <c r="AA87" s="333"/>
      <c r="AB87" s="333"/>
      <c r="AC87" s="333"/>
      <c r="AD87" s="333"/>
      <c r="AE87" s="333"/>
      <c r="AF87" s="333"/>
      <c r="AG87" s="333"/>
      <c r="AH87" s="387"/>
      <c r="AI87" s="387"/>
      <c r="AJ87" s="387"/>
      <c r="AK87" s="387"/>
      <c r="AL87" s="387"/>
      <c r="AM87" s="387"/>
      <c r="AN87" s="387"/>
      <c r="AO87" s="387"/>
      <c r="AP87" s="387"/>
      <c r="AQ87" s="387"/>
      <c r="AR87" s="387"/>
      <c r="AS87" s="387"/>
      <c r="AT87" s="387"/>
      <c r="AU87" s="333"/>
      <c r="AV87" s="333"/>
      <c r="AW87" s="333"/>
      <c r="AX87" s="333"/>
      <c r="AY87" s="333"/>
      <c r="AZ87" s="333"/>
      <c r="BA87" s="333"/>
    </row>
    <row r="88" spans="1:53" ht="13.5" customHeight="1" x14ac:dyDescent="0.2">
      <c r="A88" s="354" t="s">
        <v>139</v>
      </c>
      <c r="B88" s="450">
        <f t="shared" ref="B88:G88" si="22">B61-B87</f>
        <v>2.055125348436345</v>
      </c>
      <c r="C88" s="450">
        <f t="shared" si="22"/>
        <v>1.6645001955906107</v>
      </c>
      <c r="D88" s="450">
        <f t="shared" si="22"/>
        <v>1.5004474125149159</v>
      </c>
      <c r="E88" s="450">
        <f t="shared" si="22"/>
        <v>1.9742519531460374</v>
      </c>
      <c r="F88" s="450">
        <f t="shared" si="22"/>
        <v>1.7864469002128782</v>
      </c>
      <c r="G88" s="450">
        <f t="shared" si="22"/>
        <v>1.7103030883068513</v>
      </c>
      <c r="H88" s="333"/>
      <c r="I88" s="333"/>
      <c r="J88" s="333"/>
      <c r="K88" s="333"/>
      <c r="L88" s="387"/>
      <c r="M88" s="387"/>
      <c r="N88" s="387"/>
      <c r="O88" s="387"/>
      <c r="P88" s="333"/>
      <c r="Q88" s="387"/>
      <c r="R88" s="337"/>
      <c r="S88" s="333"/>
      <c r="T88" s="333"/>
      <c r="U88" s="333"/>
      <c r="V88" s="387"/>
      <c r="W88" s="387"/>
      <c r="X88" s="387"/>
      <c r="Y88" s="387"/>
      <c r="Z88" s="387"/>
      <c r="AA88" s="333"/>
      <c r="AB88" s="333"/>
      <c r="AC88" s="333"/>
      <c r="AD88" s="333"/>
      <c r="AE88" s="333"/>
      <c r="AF88" s="333"/>
      <c r="AG88" s="333"/>
      <c r="AH88" s="387"/>
      <c r="AI88" s="387"/>
      <c r="AJ88" s="387"/>
      <c r="AK88" s="387"/>
      <c r="AL88" s="387"/>
      <c r="AM88" s="387"/>
      <c r="AN88" s="387"/>
      <c r="AO88" s="387"/>
      <c r="AP88" s="387"/>
      <c r="AQ88" s="387"/>
      <c r="AR88" s="387"/>
      <c r="AS88" s="387"/>
      <c r="AT88" s="387"/>
      <c r="AU88" s="333"/>
      <c r="AV88" s="333"/>
      <c r="AW88" s="333"/>
      <c r="AX88" s="333"/>
      <c r="AY88" s="333"/>
      <c r="AZ88" s="333"/>
      <c r="BA88" s="333"/>
    </row>
    <row r="89" spans="1:53" ht="13.5" customHeight="1" x14ac:dyDescent="0.2">
      <c r="A89" s="333"/>
      <c r="B89" s="333"/>
      <c r="C89" s="333"/>
      <c r="D89" s="333"/>
      <c r="E89" s="333"/>
      <c r="F89" s="333"/>
      <c r="G89" s="333"/>
      <c r="H89" s="333"/>
      <c r="I89" s="333"/>
      <c r="J89" s="333"/>
      <c r="K89" s="333"/>
      <c r="L89" s="387"/>
      <c r="M89" s="387"/>
      <c r="N89" s="387"/>
      <c r="O89" s="387"/>
      <c r="P89" s="333"/>
      <c r="Q89" s="387"/>
      <c r="R89" s="337"/>
      <c r="S89" s="333"/>
      <c r="T89" s="333"/>
      <c r="U89" s="333"/>
      <c r="V89" s="387"/>
      <c r="W89" s="387"/>
      <c r="X89" s="387"/>
      <c r="Y89" s="387"/>
      <c r="Z89" s="387"/>
      <c r="AA89" s="333"/>
      <c r="AB89" s="333"/>
      <c r="AC89" s="333"/>
      <c r="AD89" s="333"/>
      <c r="AE89" s="333"/>
      <c r="AF89" s="333"/>
      <c r="AG89" s="333"/>
      <c r="AH89" s="387"/>
      <c r="AI89" s="387"/>
      <c r="AJ89" s="387"/>
      <c r="AK89" s="387"/>
      <c r="AL89" s="387"/>
      <c r="AM89" s="387"/>
      <c r="AN89" s="387"/>
      <c r="AO89" s="387"/>
      <c r="AP89" s="387"/>
      <c r="AQ89" s="387"/>
      <c r="AR89" s="387"/>
      <c r="AS89" s="387"/>
      <c r="AT89" s="387"/>
      <c r="AU89" s="333"/>
      <c r="AV89" s="333"/>
      <c r="AW89" s="333"/>
      <c r="AX89" s="333"/>
      <c r="AY89" s="333"/>
      <c r="AZ89" s="333"/>
      <c r="BA89" s="333"/>
    </row>
    <row r="90" spans="1:53" ht="13.5" customHeight="1" x14ac:dyDescent="0.2">
      <c r="A90" s="333"/>
      <c r="B90" s="333"/>
      <c r="C90" s="333"/>
      <c r="D90" s="333"/>
      <c r="E90" s="333"/>
      <c r="F90" s="333"/>
      <c r="G90" s="333"/>
      <c r="H90" s="333"/>
      <c r="I90" s="333"/>
      <c r="J90" s="333"/>
      <c r="K90" s="333"/>
      <c r="L90" s="387"/>
      <c r="M90" s="387"/>
      <c r="N90" s="387"/>
      <c r="O90" s="387"/>
      <c r="P90" s="333"/>
      <c r="Q90" s="387"/>
      <c r="R90" s="337"/>
      <c r="S90" s="333"/>
      <c r="T90" s="333"/>
      <c r="U90" s="333"/>
      <c r="V90" s="387"/>
      <c r="W90" s="387"/>
      <c r="X90" s="387"/>
      <c r="Y90" s="387"/>
      <c r="Z90" s="387"/>
      <c r="AA90" s="333"/>
      <c r="AB90" s="333"/>
      <c r="AC90" s="333"/>
      <c r="AD90" s="333"/>
      <c r="AE90" s="333"/>
      <c r="AF90" s="333"/>
      <c r="AG90" s="333"/>
      <c r="AH90" s="387"/>
      <c r="AI90" s="387"/>
      <c r="AJ90" s="387"/>
      <c r="AK90" s="387"/>
      <c r="AL90" s="387"/>
      <c r="AM90" s="387"/>
      <c r="AN90" s="387"/>
      <c r="AO90" s="387"/>
      <c r="AP90" s="387"/>
      <c r="AQ90" s="387"/>
      <c r="AR90" s="387"/>
      <c r="AS90" s="387"/>
      <c r="AT90" s="387"/>
      <c r="AU90" s="333"/>
      <c r="AV90" s="333"/>
      <c r="AW90" s="333"/>
      <c r="AX90" s="333"/>
      <c r="AY90" s="333"/>
      <c r="AZ90" s="333"/>
      <c r="BA90" s="333"/>
    </row>
    <row r="91" spans="1:53" ht="13.5" customHeight="1" x14ac:dyDescent="0.2">
      <c r="A91" s="333"/>
      <c r="B91" s="333"/>
      <c r="C91" s="333"/>
      <c r="D91" s="333"/>
      <c r="E91" s="333"/>
      <c r="F91" s="333"/>
      <c r="G91" s="333"/>
      <c r="H91" s="333"/>
      <c r="I91" s="333"/>
      <c r="J91" s="333"/>
      <c r="K91" s="333"/>
      <c r="L91" s="387"/>
      <c r="M91" s="387"/>
      <c r="N91" s="387"/>
      <c r="O91" s="387"/>
      <c r="P91" s="333"/>
      <c r="Q91" s="387"/>
      <c r="R91" s="337"/>
      <c r="S91" s="333"/>
      <c r="T91" s="333"/>
      <c r="U91" s="333"/>
      <c r="V91" s="387"/>
      <c r="W91" s="387"/>
      <c r="X91" s="387"/>
      <c r="Y91" s="387"/>
      <c r="Z91" s="387"/>
      <c r="AA91" s="333"/>
      <c r="AB91" s="333"/>
      <c r="AC91" s="333"/>
      <c r="AD91" s="333"/>
      <c r="AE91" s="333"/>
      <c r="AF91" s="333"/>
      <c r="AG91" s="333"/>
      <c r="AH91" s="387"/>
      <c r="AI91" s="387"/>
      <c r="AJ91" s="387"/>
      <c r="AK91" s="387"/>
      <c r="AL91" s="387"/>
      <c r="AM91" s="387"/>
      <c r="AN91" s="387"/>
      <c r="AO91" s="387"/>
      <c r="AP91" s="387"/>
      <c r="AQ91" s="387"/>
      <c r="AR91" s="387"/>
      <c r="AS91" s="387"/>
      <c r="AT91" s="387"/>
      <c r="AU91" s="333"/>
      <c r="AV91" s="333"/>
      <c r="AW91" s="333"/>
      <c r="AX91" s="333"/>
      <c r="AY91" s="333"/>
      <c r="AZ91" s="333"/>
      <c r="BA91" s="333"/>
    </row>
    <row r="92" spans="1:53" ht="13.5" customHeight="1" x14ac:dyDescent="0.2">
      <c r="A92" s="333"/>
      <c r="B92" s="333"/>
      <c r="C92" s="333"/>
      <c r="D92" s="333"/>
      <c r="E92" s="333"/>
      <c r="F92" s="333"/>
      <c r="G92" s="333"/>
      <c r="H92" s="333"/>
      <c r="I92" s="333"/>
      <c r="J92" s="333"/>
      <c r="K92" s="333"/>
      <c r="L92" s="387"/>
      <c r="M92" s="387"/>
      <c r="N92" s="387"/>
      <c r="O92" s="387"/>
      <c r="P92" s="333"/>
      <c r="Q92" s="387"/>
      <c r="R92" s="337"/>
      <c r="S92" s="333"/>
      <c r="T92" s="333"/>
      <c r="U92" s="333"/>
      <c r="V92" s="387"/>
      <c r="W92" s="387"/>
      <c r="X92" s="387"/>
      <c r="Y92" s="387"/>
      <c r="Z92" s="387"/>
      <c r="AA92" s="333"/>
      <c r="AB92" s="333"/>
      <c r="AC92" s="333"/>
      <c r="AD92" s="333"/>
      <c r="AE92" s="333"/>
      <c r="AF92" s="333"/>
      <c r="AG92" s="333"/>
      <c r="AH92" s="387"/>
      <c r="AI92" s="387"/>
      <c r="AJ92" s="387"/>
      <c r="AK92" s="387"/>
      <c r="AL92" s="387"/>
      <c r="AM92" s="387"/>
      <c r="AN92" s="387"/>
      <c r="AO92" s="387"/>
      <c r="AP92" s="387"/>
      <c r="AQ92" s="387"/>
      <c r="AR92" s="387"/>
      <c r="AS92" s="387"/>
      <c r="AT92" s="387"/>
      <c r="AU92" s="333"/>
      <c r="AV92" s="333"/>
      <c r="AW92" s="333"/>
      <c r="AX92" s="333"/>
      <c r="AY92" s="333"/>
      <c r="AZ92" s="333"/>
      <c r="BA92" s="333"/>
    </row>
    <row r="93" spans="1:53" ht="13.5" customHeight="1" x14ac:dyDescent="0.2">
      <c r="A93" s="451" t="s">
        <v>813</v>
      </c>
      <c r="B93" s="333"/>
      <c r="C93" s="416"/>
      <c r="D93" s="416"/>
      <c r="E93" s="333"/>
      <c r="F93" s="333"/>
      <c r="G93" s="333"/>
      <c r="H93" s="333"/>
      <c r="I93" s="333"/>
      <c r="J93" s="333"/>
      <c r="K93" s="333"/>
      <c r="L93" s="387"/>
      <c r="M93" s="387"/>
      <c r="N93" s="387"/>
      <c r="O93" s="387"/>
      <c r="P93" s="333"/>
      <c r="Q93" s="387"/>
      <c r="R93" s="337"/>
      <c r="S93" s="333"/>
      <c r="T93" s="333"/>
      <c r="U93" s="333"/>
      <c r="V93" s="387"/>
      <c r="W93" s="387"/>
      <c r="X93" s="387"/>
      <c r="Y93" s="387"/>
      <c r="Z93" s="387"/>
      <c r="AA93" s="333"/>
      <c r="AB93" s="333"/>
      <c r="AC93" s="333"/>
      <c r="AD93" s="333"/>
      <c r="AE93" s="333"/>
      <c r="AF93" s="333"/>
      <c r="AG93" s="333"/>
      <c r="AH93" s="387"/>
      <c r="AI93" s="387"/>
      <c r="AJ93" s="387"/>
      <c r="AK93" s="387"/>
      <c r="AL93" s="387"/>
      <c r="AM93" s="387"/>
      <c r="AN93" s="387"/>
      <c r="AO93" s="387"/>
      <c r="AP93" s="387"/>
      <c r="AQ93" s="387"/>
      <c r="AR93" s="387"/>
      <c r="AS93" s="387"/>
      <c r="AT93" s="387"/>
      <c r="AU93" s="333"/>
      <c r="AV93" s="333"/>
      <c r="AW93" s="333"/>
      <c r="AX93" s="333"/>
      <c r="AY93" s="333"/>
      <c r="AZ93" s="333"/>
      <c r="BA93" s="333"/>
    </row>
    <row r="94" spans="1:53" ht="13.5" customHeight="1" x14ac:dyDescent="0.2">
      <c r="A94" s="333"/>
      <c r="B94" s="333"/>
      <c r="C94" s="333"/>
      <c r="D94" s="333"/>
      <c r="E94" s="333"/>
      <c r="F94" s="333"/>
      <c r="G94" s="333"/>
      <c r="H94" s="333"/>
      <c r="I94" s="333"/>
      <c r="J94" s="333"/>
      <c r="K94" s="333"/>
      <c r="L94" s="387"/>
      <c r="M94" s="387"/>
      <c r="N94" s="387"/>
      <c r="O94" s="387"/>
      <c r="P94" s="333"/>
      <c r="Q94" s="387"/>
      <c r="R94" s="337"/>
      <c r="S94" s="333"/>
      <c r="T94" s="333"/>
      <c r="U94" s="333"/>
      <c r="V94" s="387"/>
      <c r="W94" s="387"/>
      <c r="X94" s="387"/>
      <c r="Y94" s="387"/>
      <c r="Z94" s="387"/>
      <c r="AA94" s="333"/>
      <c r="AB94" s="333"/>
      <c r="AC94" s="333"/>
      <c r="AD94" s="333"/>
      <c r="AE94" s="333"/>
      <c r="AF94" s="333"/>
      <c r="AG94" s="333"/>
      <c r="AH94" s="387"/>
      <c r="AI94" s="387"/>
      <c r="AJ94" s="387"/>
      <c r="AK94" s="387"/>
      <c r="AL94" s="387"/>
      <c r="AM94" s="387"/>
      <c r="AN94" s="387"/>
      <c r="AO94" s="387"/>
      <c r="AP94" s="387"/>
      <c r="AQ94" s="387"/>
      <c r="AR94" s="387"/>
      <c r="AS94" s="387"/>
      <c r="AT94" s="387"/>
      <c r="AU94" s="333"/>
      <c r="AV94" s="333"/>
      <c r="AW94" s="333"/>
      <c r="AX94" s="333"/>
      <c r="AY94" s="333"/>
      <c r="AZ94" s="333"/>
      <c r="BA94" s="333"/>
    </row>
    <row r="95" spans="1:53" ht="13.5" customHeight="1" x14ac:dyDescent="0.2">
      <c r="A95" s="333"/>
      <c r="B95" s="333"/>
      <c r="C95" s="333"/>
      <c r="D95" s="333"/>
      <c r="E95" s="333"/>
      <c r="F95" s="333"/>
      <c r="G95" s="333"/>
      <c r="H95" s="333"/>
      <c r="I95" s="333"/>
      <c r="J95" s="333"/>
      <c r="K95" s="333"/>
      <c r="L95" s="387"/>
      <c r="M95" s="387"/>
      <c r="N95" s="387"/>
      <c r="O95" s="387"/>
      <c r="P95" s="333"/>
      <c r="Q95" s="387"/>
      <c r="R95" s="337"/>
      <c r="S95" s="333"/>
      <c r="T95" s="333"/>
      <c r="U95" s="333"/>
      <c r="V95" s="387"/>
      <c r="W95" s="387"/>
      <c r="X95" s="387"/>
      <c r="Y95" s="387"/>
      <c r="Z95" s="387"/>
      <c r="AA95" s="333"/>
      <c r="AB95" s="333"/>
      <c r="AC95" s="333"/>
      <c r="AD95" s="333"/>
      <c r="AE95" s="333"/>
      <c r="AF95" s="333"/>
      <c r="AG95" s="333"/>
      <c r="AH95" s="387"/>
      <c r="AI95" s="387"/>
      <c r="AJ95" s="387"/>
      <c r="AK95" s="387"/>
      <c r="AL95" s="387"/>
      <c r="AM95" s="387"/>
      <c r="AN95" s="387"/>
      <c r="AO95" s="387"/>
      <c r="AP95" s="387"/>
      <c r="AQ95" s="387"/>
      <c r="AR95" s="387"/>
      <c r="AS95" s="387"/>
      <c r="AT95" s="387"/>
      <c r="AU95" s="333"/>
      <c r="AV95" s="333"/>
      <c r="AW95" s="333"/>
      <c r="AX95" s="333"/>
      <c r="AY95" s="333"/>
      <c r="AZ95" s="333"/>
      <c r="BA95" s="333"/>
    </row>
    <row r="96" spans="1:53" ht="13.5" customHeight="1" x14ac:dyDescent="0.2">
      <c r="A96" s="333"/>
      <c r="B96" s="333"/>
      <c r="C96" s="333"/>
      <c r="D96" s="333"/>
      <c r="E96" s="333"/>
      <c r="F96" s="333"/>
      <c r="G96" s="333"/>
      <c r="H96" s="333"/>
      <c r="I96" s="333"/>
      <c r="J96" s="333"/>
      <c r="K96" s="333"/>
      <c r="L96" s="387"/>
      <c r="M96" s="387"/>
      <c r="N96" s="387"/>
      <c r="O96" s="387"/>
      <c r="P96" s="333"/>
      <c r="Q96" s="387"/>
      <c r="R96" s="337"/>
      <c r="S96" s="333"/>
      <c r="T96" s="333"/>
      <c r="U96" s="333"/>
      <c r="V96" s="387"/>
      <c r="W96" s="387"/>
      <c r="X96" s="387"/>
      <c r="Y96" s="387"/>
      <c r="Z96" s="387"/>
      <c r="AA96" s="333"/>
      <c r="AB96" s="333"/>
      <c r="AC96" s="333"/>
      <c r="AD96" s="333"/>
      <c r="AE96" s="333"/>
      <c r="AF96" s="333"/>
      <c r="AG96" s="333"/>
      <c r="AH96" s="387"/>
      <c r="AI96" s="387"/>
      <c r="AJ96" s="387"/>
      <c r="AK96" s="387"/>
      <c r="AL96" s="387"/>
      <c r="AM96" s="387"/>
      <c r="AN96" s="387"/>
      <c r="AO96" s="387"/>
      <c r="AP96" s="387"/>
      <c r="AQ96" s="387"/>
      <c r="AR96" s="387"/>
      <c r="AS96" s="387"/>
      <c r="AT96" s="387"/>
      <c r="AU96" s="333"/>
      <c r="AV96" s="333"/>
      <c r="AW96" s="333"/>
      <c r="AX96" s="333"/>
      <c r="AY96" s="333"/>
      <c r="AZ96" s="333"/>
      <c r="BA96" s="333"/>
    </row>
    <row r="97" spans="1:53" ht="13.5" customHeight="1" x14ac:dyDescent="0.2">
      <c r="A97" s="333"/>
      <c r="B97" s="333"/>
      <c r="C97" s="333"/>
      <c r="D97" s="333"/>
      <c r="E97" s="333"/>
      <c r="F97" s="333"/>
      <c r="G97" s="333"/>
      <c r="H97" s="333"/>
      <c r="I97" s="333"/>
      <c r="J97" s="333"/>
      <c r="K97" s="333"/>
      <c r="L97" s="387"/>
      <c r="M97" s="387"/>
      <c r="N97" s="387"/>
      <c r="O97" s="387"/>
      <c r="P97" s="333"/>
      <c r="Q97" s="387"/>
      <c r="R97" s="337"/>
      <c r="S97" s="333"/>
      <c r="T97" s="333"/>
      <c r="U97" s="333"/>
      <c r="V97" s="387"/>
      <c r="W97" s="387"/>
      <c r="X97" s="387"/>
      <c r="Y97" s="387"/>
      <c r="Z97" s="387"/>
      <c r="AA97" s="333"/>
      <c r="AB97" s="333"/>
      <c r="AC97" s="333"/>
      <c r="AD97" s="333"/>
      <c r="AE97" s="333"/>
      <c r="AF97" s="333"/>
      <c r="AG97" s="333"/>
      <c r="AH97" s="387"/>
      <c r="AI97" s="387"/>
      <c r="AJ97" s="387"/>
      <c r="AK97" s="387"/>
      <c r="AL97" s="387"/>
      <c r="AM97" s="387"/>
      <c r="AN97" s="387"/>
      <c r="AO97" s="387"/>
      <c r="AP97" s="387"/>
      <c r="AQ97" s="387"/>
      <c r="AR97" s="387"/>
      <c r="AS97" s="387"/>
      <c r="AT97" s="387"/>
      <c r="AU97" s="333"/>
      <c r="AV97" s="333"/>
      <c r="AW97" s="333"/>
      <c r="AX97" s="333"/>
      <c r="AY97" s="333"/>
      <c r="AZ97" s="333"/>
      <c r="BA97" s="333"/>
    </row>
    <row r="98" spans="1:53" ht="13.5" customHeight="1" x14ac:dyDescent="0.2">
      <c r="A98" s="333"/>
      <c r="B98" s="333"/>
      <c r="C98" s="333"/>
      <c r="D98" s="333"/>
      <c r="E98" s="333"/>
      <c r="F98" s="333"/>
      <c r="G98" s="333"/>
      <c r="H98" s="333"/>
      <c r="I98" s="333"/>
      <c r="J98" s="333"/>
      <c r="K98" s="333"/>
      <c r="L98" s="387"/>
      <c r="M98" s="387"/>
      <c r="N98" s="387"/>
      <c r="O98" s="387"/>
      <c r="P98" s="333"/>
      <c r="Q98" s="387"/>
      <c r="R98" s="337"/>
      <c r="S98" s="333"/>
      <c r="T98" s="333"/>
      <c r="U98" s="333"/>
      <c r="V98" s="387"/>
      <c r="W98" s="387"/>
      <c r="X98" s="387"/>
      <c r="Y98" s="387"/>
      <c r="Z98" s="387"/>
      <c r="AA98" s="333"/>
      <c r="AB98" s="333"/>
      <c r="AC98" s="333"/>
      <c r="AD98" s="333"/>
      <c r="AE98" s="333"/>
      <c r="AF98" s="333"/>
      <c r="AG98" s="333"/>
      <c r="AH98" s="387"/>
      <c r="AI98" s="387"/>
      <c r="AJ98" s="387"/>
      <c r="AK98" s="387"/>
      <c r="AL98" s="387"/>
      <c r="AM98" s="387"/>
      <c r="AN98" s="387"/>
      <c r="AO98" s="387"/>
      <c r="AP98" s="387"/>
      <c r="AQ98" s="387"/>
      <c r="AR98" s="387"/>
      <c r="AS98" s="387"/>
      <c r="AT98" s="387"/>
      <c r="AU98" s="333"/>
      <c r="AV98" s="333"/>
      <c r="AW98" s="333"/>
      <c r="AX98" s="333"/>
      <c r="AY98" s="333"/>
      <c r="AZ98" s="333"/>
      <c r="BA98" s="333"/>
    </row>
    <row r="99" spans="1:53" ht="13.5" customHeight="1" x14ac:dyDescent="0.2">
      <c r="A99" s="333"/>
      <c r="B99" s="333"/>
      <c r="C99" s="333"/>
      <c r="D99" s="333"/>
      <c r="E99" s="333"/>
      <c r="F99" s="333"/>
      <c r="G99" s="333"/>
      <c r="H99" s="333"/>
      <c r="I99" s="333"/>
      <c r="J99" s="333"/>
      <c r="K99" s="333"/>
      <c r="L99" s="387"/>
      <c r="M99" s="387"/>
      <c r="N99" s="387"/>
      <c r="O99" s="387"/>
      <c r="P99" s="333"/>
      <c r="Q99" s="387"/>
      <c r="R99" s="337"/>
      <c r="S99" s="333"/>
      <c r="T99" s="333"/>
      <c r="U99" s="333"/>
      <c r="V99" s="387"/>
      <c r="W99" s="387"/>
      <c r="X99" s="387"/>
      <c r="Y99" s="387"/>
      <c r="Z99" s="387"/>
      <c r="AA99" s="333"/>
      <c r="AB99" s="333"/>
      <c r="AC99" s="333"/>
      <c r="AD99" s="333"/>
      <c r="AE99" s="333"/>
      <c r="AF99" s="333"/>
      <c r="AG99" s="333"/>
      <c r="AH99" s="387"/>
      <c r="AI99" s="387"/>
      <c r="AJ99" s="387"/>
      <c r="AK99" s="387"/>
      <c r="AL99" s="387"/>
      <c r="AM99" s="387"/>
      <c r="AN99" s="387"/>
      <c r="AO99" s="387"/>
      <c r="AP99" s="387"/>
      <c r="AQ99" s="387"/>
      <c r="AR99" s="387"/>
      <c r="AS99" s="387"/>
      <c r="AT99" s="387"/>
      <c r="AU99" s="333"/>
      <c r="AV99" s="333"/>
      <c r="AW99" s="333"/>
      <c r="AX99" s="333"/>
      <c r="AY99" s="333"/>
      <c r="AZ99" s="333"/>
      <c r="BA99" s="333"/>
    </row>
    <row r="100" spans="1:53" ht="13.5" customHeight="1" x14ac:dyDescent="0.2">
      <c r="A100" s="333"/>
      <c r="B100" s="333"/>
      <c r="C100" s="333"/>
      <c r="D100" s="333"/>
      <c r="E100" s="333"/>
      <c r="F100" s="333"/>
      <c r="G100" s="333"/>
      <c r="H100" s="333"/>
      <c r="I100" s="333"/>
      <c r="J100" s="333"/>
      <c r="K100" s="333"/>
      <c r="L100" s="387"/>
      <c r="M100" s="387"/>
      <c r="N100" s="387"/>
      <c r="O100" s="387"/>
      <c r="P100" s="333"/>
      <c r="Q100" s="387"/>
      <c r="R100" s="337"/>
      <c r="S100" s="333"/>
      <c r="T100" s="333"/>
      <c r="U100" s="333"/>
      <c r="V100" s="387"/>
      <c r="W100" s="387"/>
      <c r="X100" s="387"/>
      <c r="Y100" s="387"/>
      <c r="Z100" s="387"/>
      <c r="AA100" s="333"/>
      <c r="AB100" s="333"/>
      <c r="AC100" s="333"/>
      <c r="AD100" s="333"/>
      <c r="AE100" s="333"/>
      <c r="AF100" s="333"/>
      <c r="AG100" s="333"/>
      <c r="AH100" s="387"/>
      <c r="AI100" s="387"/>
      <c r="AJ100" s="387"/>
      <c r="AK100" s="387"/>
      <c r="AL100" s="387"/>
      <c r="AM100" s="387"/>
      <c r="AN100" s="387"/>
      <c r="AO100" s="387"/>
      <c r="AP100" s="387"/>
      <c r="AQ100" s="387"/>
      <c r="AR100" s="387"/>
      <c r="AS100" s="387"/>
      <c r="AT100" s="387"/>
      <c r="AU100" s="333"/>
      <c r="AV100" s="333"/>
      <c r="AW100" s="333"/>
      <c r="AX100" s="333"/>
      <c r="AY100" s="333"/>
      <c r="AZ100" s="333"/>
      <c r="BA100" s="333"/>
    </row>
    <row r="101" spans="1:53" ht="13.5" customHeight="1" x14ac:dyDescent="0.2">
      <c r="A101" s="333"/>
      <c r="B101" s="333"/>
      <c r="C101" s="333"/>
      <c r="D101" s="333"/>
      <c r="E101" s="333"/>
      <c r="F101" s="333"/>
      <c r="G101" s="333"/>
      <c r="H101" s="333"/>
      <c r="I101" s="333"/>
      <c r="J101" s="333"/>
      <c r="K101" s="333"/>
      <c r="L101" s="387"/>
      <c r="M101" s="387"/>
      <c r="N101" s="387"/>
      <c r="O101" s="387"/>
      <c r="P101" s="333"/>
      <c r="Q101" s="387"/>
      <c r="R101" s="337"/>
      <c r="S101" s="333"/>
      <c r="T101" s="333"/>
      <c r="U101" s="333"/>
      <c r="V101" s="387"/>
      <c r="W101" s="387"/>
      <c r="X101" s="387"/>
      <c r="Y101" s="387"/>
      <c r="Z101" s="387"/>
      <c r="AA101" s="333"/>
      <c r="AB101" s="333"/>
      <c r="AC101" s="333"/>
      <c r="AD101" s="333"/>
      <c r="AE101" s="333"/>
      <c r="AF101" s="333"/>
      <c r="AG101" s="333"/>
      <c r="AH101" s="387"/>
      <c r="AI101" s="387"/>
      <c r="AJ101" s="387"/>
      <c r="AK101" s="387"/>
      <c r="AL101" s="387"/>
      <c r="AM101" s="387"/>
      <c r="AN101" s="387"/>
      <c r="AO101" s="387"/>
      <c r="AP101" s="387"/>
      <c r="AQ101" s="387"/>
      <c r="AR101" s="387"/>
      <c r="AS101" s="387"/>
      <c r="AT101" s="387"/>
      <c r="AU101" s="333"/>
      <c r="AV101" s="333"/>
      <c r="AW101" s="333"/>
      <c r="AX101" s="333"/>
      <c r="AY101" s="333"/>
      <c r="AZ101" s="333"/>
      <c r="BA101" s="333"/>
    </row>
    <row r="102" spans="1:53" ht="13.5" customHeight="1" x14ac:dyDescent="0.2">
      <c r="A102" s="333"/>
      <c r="B102" s="333"/>
      <c r="C102" s="333"/>
      <c r="D102" s="333"/>
      <c r="E102" s="333"/>
      <c r="F102" s="333"/>
      <c r="G102" s="333"/>
      <c r="H102" s="333"/>
      <c r="I102" s="333"/>
      <c r="J102" s="333"/>
      <c r="K102" s="333"/>
      <c r="L102" s="387"/>
      <c r="M102" s="387"/>
      <c r="N102" s="387"/>
      <c r="O102" s="387"/>
      <c r="P102" s="333"/>
      <c r="Q102" s="387"/>
      <c r="R102" s="337"/>
      <c r="S102" s="333"/>
      <c r="T102" s="333"/>
      <c r="U102" s="333"/>
      <c r="V102" s="387"/>
      <c r="W102" s="387"/>
      <c r="X102" s="387"/>
      <c r="Y102" s="387"/>
      <c r="Z102" s="387"/>
      <c r="AA102" s="333"/>
      <c r="AB102" s="333"/>
      <c r="AC102" s="333"/>
      <c r="AD102" s="333"/>
      <c r="AE102" s="333"/>
      <c r="AF102" s="333"/>
      <c r="AG102" s="333"/>
      <c r="AH102" s="387"/>
      <c r="AI102" s="387"/>
      <c r="AJ102" s="387"/>
      <c r="AK102" s="387"/>
      <c r="AL102" s="387"/>
      <c r="AM102" s="387"/>
      <c r="AN102" s="387"/>
      <c r="AO102" s="387"/>
      <c r="AP102" s="387"/>
      <c r="AQ102" s="387"/>
      <c r="AR102" s="387"/>
      <c r="AS102" s="387"/>
      <c r="AT102" s="387"/>
      <c r="AU102" s="333"/>
      <c r="AV102" s="333"/>
      <c r="AW102" s="333"/>
      <c r="AX102" s="333"/>
      <c r="AY102" s="333"/>
      <c r="AZ102" s="333"/>
      <c r="BA102" s="333"/>
    </row>
    <row r="103" spans="1:53" ht="13.5" customHeight="1" x14ac:dyDescent="0.2">
      <c r="A103" s="333"/>
      <c r="B103" s="333"/>
      <c r="C103" s="333"/>
      <c r="D103" s="333"/>
      <c r="E103" s="333"/>
      <c r="F103" s="333"/>
      <c r="G103" s="333"/>
      <c r="H103" s="333"/>
      <c r="I103" s="333"/>
      <c r="J103" s="333"/>
      <c r="K103" s="333"/>
      <c r="L103" s="387"/>
      <c r="M103" s="387"/>
      <c r="N103" s="387"/>
      <c r="O103" s="387"/>
      <c r="P103" s="333"/>
      <c r="Q103" s="387"/>
      <c r="R103" s="337"/>
      <c r="S103" s="333"/>
      <c r="T103" s="333"/>
      <c r="U103" s="333"/>
      <c r="V103" s="387"/>
      <c r="W103" s="387"/>
      <c r="X103" s="387"/>
      <c r="Y103" s="387"/>
      <c r="Z103" s="387"/>
      <c r="AA103" s="333"/>
      <c r="AB103" s="333"/>
      <c r="AC103" s="333"/>
      <c r="AD103" s="333"/>
      <c r="AE103" s="333"/>
      <c r="AF103" s="333"/>
      <c r="AG103" s="333"/>
      <c r="AH103" s="387"/>
      <c r="AI103" s="387"/>
      <c r="AJ103" s="387"/>
      <c r="AK103" s="387"/>
      <c r="AL103" s="387"/>
      <c r="AM103" s="387"/>
      <c r="AN103" s="387"/>
      <c r="AO103" s="387"/>
      <c r="AP103" s="387"/>
      <c r="AQ103" s="387"/>
      <c r="AR103" s="387"/>
      <c r="AS103" s="387"/>
      <c r="AT103" s="387"/>
      <c r="AU103" s="333"/>
      <c r="AV103" s="333"/>
      <c r="AW103" s="333"/>
      <c r="AX103" s="333"/>
      <c r="AY103" s="333"/>
      <c r="AZ103" s="333"/>
      <c r="BA103" s="333"/>
    </row>
    <row r="104" spans="1:53" ht="13.5" customHeight="1" x14ac:dyDescent="0.2">
      <c r="A104" s="333"/>
      <c r="B104" s="333"/>
      <c r="C104" s="333"/>
      <c r="D104" s="333"/>
      <c r="E104" s="333"/>
      <c r="F104" s="333"/>
      <c r="G104" s="333"/>
      <c r="H104" s="333"/>
      <c r="I104" s="333"/>
      <c r="J104" s="333"/>
      <c r="K104" s="333"/>
      <c r="L104" s="387"/>
      <c r="M104" s="387"/>
      <c r="N104" s="387"/>
      <c r="O104" s="387"/>
      <c r="P104" s="333"/>
      <c r="Q104" s="387"/>
      <c r="R104" s="337"/>
      <c r="S104" s="333"/>
      <c r="T104" s="333"/>
      <c r="U104" s="333"/>
      <c r="V104" s="387"/>
      <c r="W104" s="387"/>
      <c r="X104" s="387"/>
      <c r="Y104" s="387"/>
      <c r="Z104" s="387"/>
      <c r="AA104" s="333"/>
      <c r="AB104" s="333"/>
      <c r="AC104" s="333"/>
      <c r="AD104" s="333"/>
      <c r="AE104" s="333"/>
      <c r="AF104" s="333"/>
      <c r="AG104" s="333"/>
      <c r="AH104" s="387"/>
      <c r="AI104" s="387"/>
      <c r="AJ104" s="387"/>
      <c r="AK104" s="387"/>
      <c r="AL104" s="387"/>
      <c r="AM104" s="387"/>
      <c r="AN104" s="387"/>
      <c r="AO104" s="387"/>
      <c r="AP104" s="387"/>
      <c r="AQ104" s="387"/>
      <c r="AR104" s="387"/>
      <c r="AS104" s="387"/>
      <c r="AT104" s="387"/>
      <c r="AU104" s="333"/>
      <c r="AV104" s="333"/>
      <c r="AW104" s="333"/>
      <c r="AX104" s="333"/>
      <c r="AY104" s="333"/>
      <c r="AZ104" s="333"/>
      <c r="BA104" s="333"/>
    </row>
    <row r="105" spans="1:53" ht="13.5" customHeight="1" x14ac:dyDescent="0.2">
      <c r="A105" s="333"/>
      <c r="B105" s="347"/>
      <c r="C105" s="416"/>
      <c r="D105" s="452"/>
      <c r="E105" s="416"/>
      <c r="F105" s="377" t="s">
        <v>0</v>
      </c>
      <c r="G105" s="445"/>
      <c r="H105" s="333"/>
      <c r="I105" s="333"/>
      <c r="J105" s="333"/>
      <c r="K105" s="333"/>
      <c r="L105" s="387"/>
      <c r="M105" s="387"/>
      <c r="N105" s="387"/>
      <c r="O105" s="387"/>
      <c r="P105" s="333"/>
      <c r="Q105" s="387"/>
      <c r="R105" s="337"/>
      <c r="S105" s="333"/>
      <c r="T105" s="333"/>
      <c r="U105" s="333"/>
      <c r="V105" s="387"/>
      <c r="W105" s="387"/>
      <c r="X105" s="387"/>
      <c r="Y105" s="387"/>
      <c r="Z105" s="387"/>
      <c r="AA105" s="333"/>
      <c r="AB105" s="333"/>
      <c r="AC105" s="333"/>
      <c r="AD105" s="333"/>
      <c r="AE105" s="333"/>
      <c r="AF105" s="333"/>
      <c r="AG105" s="333"/>
      <c r="AH105" s="387"/>
      <c r="AI105" s="387"/>
      <c r="AJ105" s="387"/>
      <c r="AK105" s="387"/>
      <c r="AL105" s="387"/>
      <c r="AM105" s="387"/>
      <c r="AN105" s="387"/>
      <c r="AO105" s="387"/>
      <c r="AP105" s="387"/>
      <c r="AQ105" s="387"/>
      <c r="AR105" s="387"/>
      <c r="AS105" s="387"/>
      <c r="AT105" s="387"/>
      <c r="AU105" s="333"/>
      <c r="AV105" s="333"/>
      <c r="AW105" s="333"/>
      <c r="AX105" s="333"/>
      <c r="AY105" s="333"/>
      <c r="AZ105" s="333"/>
      <c r="BA105" s="333"/>
    </row>
    <row r="106" spans="1:53" ht="13.5" customHeight="1" x14ac:dyDescent="0.2">
      <c r="A106" s="333"/>
      <c r="B106" s="333"/>
      <c r="C106" s="333"/>
      <c r="D106" s="333"/>
      <c r="E106" s="416"/>
      <c r="F106" s="416"/>
      <c r="G106" s="445"/>
      <c r="H106" s="333"/>
      <c r="I106" s="333"/>
      <c r="J106" s="333"/>
      <c r="K106" s="333"/>
      <c r="L106" s="387"/>
      <c r="M106" s="387"/>
      <c r="N106" s="387"/>
      <c r="O106" s="387"/>
      <c r="P106" s="333"/>
      <c r="Q106" s="387"/>
      <c r="R106" s="337"/>
      <c r="S106" s="333"/>
      <c r="T106" s="333"/>
      <c r="U106" s="333"/>
      <c r="V106" s="387"/>
      <c r="W106" s="387"/>
      <c r="X106" s="387"/>
      <c r="Y106" s="387"/>
      <c r="Z106" s="387"/>
      <c r="AA106" s="333"/>
      <c r="AB106" s="333"/>
      <c r="AC106" s="333"/>
      <c r="AD106" s="333"/>
      <c r="AE106" s="333"/>
      <c r="AF106" s="333"/>
      <c r="AG106" s="333"/>
      <c r="AH106" s="387"/>
      <c r="AI106" s="387"/>
      <c r="AJ106" s="387"/>
      <c r="AK106" s="387"/>
      <c r="AL106" s="387"/>
      <c r="AM106" s="387"/>
      <c r="AN106" s="387"/>
      <c r="AO106" s="387"/>
      <c r="AP106" s="387"/>
      <c r="AQ106" s="387"/>
      <c r="AR106" s="387"/>
      <c r="AS106" s="387"/>
      <c r="AT106" s="387"/>
      <c r="AU106" s="333"/>
      <c r="AV106" s="333"/>
      <c r="AW106" s="333"/>
      <c r="AX106" s="333"/>
      <c r="AY106" s="333"/>
      <c r="AZ106" s="333"/>
      <c r="BA106" s="333"/>
    </row>
    <row r="107" spans="1:53" ht="12.75" customHeight="1" x14ac:dyDescent="0.2">
      <c r="R107" s="453"/>
    </row>
    <row r="108" spans="1:53" ht="12.75" customHeight="1" x14ac:dyDescent="0.2">
      <c r="R108" s="453"/>
    </row>
    <row r="109" spans="1:53" ht="12.75" customHeight="1" x14ac:dyDescent="0.25">
      <c r="A109" s="833" t="s">
        <v>7111</v>
      </c>
      <c r="R109" s="453"/>
    </row>
    <row r="110" spans="1:53" ht="12.75" customHeight="1" x14ac:dyDescent="0.2">
      <c r="A110" s="734" t="s">
        <v>7112</v>
      </c>
      <c r="R110" s="453"/>
    </row>
    <row r="111" spans="1:53" ht="12.75" customHeight="1" x14ac:dyDescent="0.2">
      <c r="R111" s="453"/>
    </row>
    <row r="112" spans="1:53" ht="12.75" customHeight="1" x14ac:dyDescent="0.2">
      <c r="A112" s="609" t="s">
        <v>7088</v>
      </c>
      <c r="R112" s="453"/>
    </row>
    <row r="113" spans="1:18" ht="12.75" customHeight="1" x14ac:dyDescent="0.2">
      <c r="A113" t="s">
        <v>7113</v>
      </c>
      <c r="R113" s="453"/>
    </row>
    <row r="114" spans="1:18" ht="12.75" customHeight="1" x14ac:dyDescent="0.2">
      <c r="R114" s="453"/>
    </row>
    <row r="115" spans="1:18" ht="12.75" customHeight="1" x14ac:dyDescent="0.2">
      <c r="A115" s="609" t="s">
        <v>7114</v>
      </c>
      <c r="R115" s="453"/>
    </row>
    <row r="116" spans="1:18" ht="12.75" customHeight="1" x14ac:dyDescent="0.2">
      <c r="A116" t="s">
        <v>7115</v>
      </c>
      <c r="R116" s="453"/>
    </row>
    <row r="117" spans="1:18" ht="12.75" customHeight="1" x14ac:dyDescent="0.2">
      <c r="A117" t="s">
        <v>7116</v>
      </c>
      <c r="R117" s="453"/>
    </row>
    <row r="118" spans="1:18" ht="12.75" customHeight="1" x14ac:dyDescent="0.2">
      <c r="R118" s="453"/>
    </row>
    <row r="119" spans="1:18" ht="12.75" customHeight="1" x14ac:dyDescent="0.2">
      <c r="A119" s="609" t="s">
        <v>7117</v>
      </c>
      <c r="R119" s="453"/>
    </row>
    <row r="120" spans="1:18" ht="12.75" customHeight="1" x14ac:dyDescent="0.2">
      <c r="A120" t="s">
        <v>7118</v>
      </c>
      <c r="R120" s="453"/>
    </row>
    <row r="121" spans="1:18" ht="12.75" customHeight="1" x14ac:dyDescent="0.2">
      <c r="R121" s="453"/>
    </row>
    <row r="122" spans="1:18" ht="12.75" customHeight="1" x14ac:dyDescent="0.2">
      <c r="A122" s="609" t="s">
        <v>7096</v>
      </c>
      <c r="R122" s="453"/>
    </row>
    <row r="123" spans="1:18" ht="12.75" customHeight="1" x14ac:dyDescent="0.2">
      <c r="A123" t="s">
        <v>7119</v>
      </c>
      <c r="R123" s="453"/>
    </row>
    <row r="124" spans="1:18" ht="12.75" customHeight="1" x14ac:dyDescent="0.2">
      <c r="R124" s="453"/>
    </row>
    <row r="125" spans="1:18" ht="12.75" customHeight="1" x14ac:dyDescent="0.2">
      <c r="R125" s="453"/>
    </row>
    <row r="126" spans="1:18" ht="12.75" customHeight="1" x14ac:dyDescent="0.2">
      <c r="R126" s="453"/>
    </row>
    <row r="127" spans="1:18" ht="12.75" customHeight="1" x14ac:dyDescent="0.2">
      <c r="R127" s="453"/>
    </row>
    <row r="128" spans="1:18" ht="12.75" customHeight="1" x14ac:dyDescent="0.2">
      <c r="R128" s="453"/>
    </row>
    <row r="129" spans="1:18" ht="12.75" customHeight="1" x14ac:dyDescent="0.2">
      <c r="R129" s="453"/>
    </row>
    <row r="130" spans="1:18" ht="12.75" customHeight="1" x14ac:dyDescent="0.25">
      <c r="A130" s="838" t="s">
        <v>7470</v>
      </c>
      <c r="R130" s="453"/>
    </row>
    <row r="131" spans="1:18" ht="12.75" customHeight="1" x14ac:dyDescent="0.2">
      <c r="A131" s="734" t="s">
        <v>7471</v>
      </c>
      <c r="R131" s="453"/>
    </row>
    <row r="132" spans="1:18" ht="12.75" customHeight="1" x14ac:dyDescent="0.2">
      <c r="R132" s="453"/>
    </row>
    <row r="133" spans="1:18" ht="12.75" customHeight="1" x14ac:dyDescent="0.2">
      <c r="A133" s="839" t="s">
        <v>7472</v>
      </c>
      <c r="R133" s="453"/>
    </row>
    <row r="134" spans="1:18" ht="12.75" customHeight="1" x14ac:dyDescent="0.2">
      <c r="A134" s="842" t="s">
        <v>7473</v>
      </c>
      <c r="R134" s="453"/>
    </row>
    <row r="135" spans="1:18" ht="12.75" customHeight="1" x14ac:dyDescent="0.2">
      <c r="A135" t="s">
        <v>7474</v>
      </c>
      <c r="R135" s="453"/>
    </row>
    <row r="136" spans="1:18" ht="12.75" customHeight="1" x14ac:dyDescent="0.2">
      <c r="A136" t="s">
        <v>7475</v>
      </c>
      <c r="R136" s="453"/>
    </row>
    <row r="137" spans="1:18" ht="12.75" customHeight="1" x14ac:dyDescent="0.2">
      <c r="R137" s="453"/>
    </row>
    <row r="138" spans="1:18" ht="12.75" customHeight="1" x14ac:dyDescent="0.2">
      <c r="A138" s="839" t="s">
        <v>7476</v>
      </c>
      <c r="R138" s="453"/>
    </row>
    <row r="139" spans="1:18" ht="12.75" customHeight="1" x14ac:dyDescent="0.2">
      <c r="A139" t="s">
        <v>7477</v>
      </c>
      <c r="R139" s="453"/>
    </row>
    <row r="140" spans="1:18" ht="12.75" customHeight="1" x14ac:dyDescent="0.2">
      <c r="R140" s="453"/>
    </row>
    <row r="141" spans="1:18" ht="12.75" customHeight="1" x14ac:dyDescent="0.2">
      <c r="R141" s="453"/>
    </row>
    <row r="142" spans="1:18" ht="12.75" customHeight="1" x14ac:dyDescent="0.2">
      <c r="R142" s="453"/>
    </row>
    <row r="143" spans="1:18" ht="12.75" customHeight="1" x14ac:dyDescent="0.2">
      <c r="R143" s="453"/>
    </row>
    <row r="144" spans="1:18" ht="12.75" customHeight="1" x14ac:dyDescent="0.2">
      <c r="R144" s="453"/>
    </row>
    <row r="145" spans="18:18" ht="12.75" customHeight="1" x14ac:dyDescent="0.2">
      <c r="R145" s="453"/>
    </row>
    <row r="146" spans="18:18" ht="12.75" customHeight="1" x14ac:dyDescent="0.2">
      <c r="R146" s="453"/>
    </row>
    <row r="147" spans="18:18" ht="12.75" customHeight="1" x14ac:dyDescent="0.2">
      <c r="R147" s="453"/>
    </row>
    <row r="148" spans="18:18" ht="12.75" customHeight="1" x14ac:dyDescent="0.2">
      <c r="R148" s="453"/>
    </row>
    <row r="149" spans="18:18" ht="12.75" customHeight="1" x14ac:dyDescent="0.2">
      <c r="R149" s="453"/>
    </row>
    <row r="150" spans="18:18" ht="12.75" customHeight="1" x14ac:dyDescent="0.2">
      <c r="R150" s="453"/>
    </row>
    <row r="151" spans="18:18" ht="12.75" customHeight="1" x14ac:dyDescent="0.2">
      <c r="R151" s="453"/>
    </row>
    <row r="152" spans="18:18" ht="12.75" customHeight="1" x14ac:dyDescent="0.2">
      <c r="R152" s="453"/>
    </row>
    <row r="153" spans="18:18" ht="12.75" customHeight="1" x14ac:dyDescent="0.2">
      <c r="R153" s="453"/>
    </row>
    <row r="154" spans="18:18" ht="12.75" customHeight="1" x14ac:dyDescent="0.2">
      <c r="R154" s="453"/>
    </row>
    <row r="155" spans="18:18" ht="12.75" customHeight="1" x14ac:dyDescent="0.2">
      <c r="R155" s="453"/>
    </row>
    <row r="156" spans="18:18" ht="12.75" customHeight="1" x14ac:dyDescent="0.2">
      <c r="R156" s="453"/>
    </row>
    <row r="157" spans="18:18" ht="12.75" customHeight="1" x14ac:dyDescent="0.2">
      <c r="R157" s="453"/>
    </row>
    <row r="158" spans="18:18" ht="12.75" customHeight="1" x14ac:dyDescent="0.2">
      <c r="R158" s="453"/>
    </row>
    <row r="159" spans="18:18" ht="12.75" customHeight="1" x14ac:dyDescent="0.2">
      <c r="R159" s="453"/>
    </row>
    <row r="160" spans="18:18" ht="12.75" customHeight="1" x14ac:dyDescent="0.2">
      <c r="R160" s="453"/>
    </row>
    <row r="161" spans="18:18" ht="12.75" customHeight="1" x14ac:dyDescent="0.2">
      <c r="R161" s="453"/>
    </row>
    <row r="162" spans="18:18" ht="12.75" customHeight="1" x14ac:dyDescent="0.2">
      <c r="R162" s="453"/>
    </row>
    <row r="163" spans="18:18" ht="12.75" customHeight="1" x14ac:dyDescent="0.2">
      <c r="R163" s="453"/>
    </row>
    <row r="164" spans="18:18" ht="12.75" customHeight="1" x14ac:dyDescent="0.2">
      <c r="R164" s="453"/>
    </row>
    <row r="165" spans="18:18" ht="12.75" customHeight="1" x14ac:dyDescent="0.2">
      <c r="R165" s="453"/>
    </row>
    <row r="166" spans="18:18" ht="12.75" customHeight="1" x14ac:dyDescent="0.2">
      <c r="R166" s="453"/>
    </row>
    <row r="167" spans="18:18" ht="12.75" customHeight="1" x14ac:dyDescent="0.2">
      <c r="R167" s="453"/>
    </row>
    <row r="168" spans="18:18" ht="12.75" customHeight="1" x14ac:dyDescent="0.2">
      <c r="R168" s="453"/>
    </row>
    <row r="169" spans="18:18" ht="12.75" customHeight="1" x14ac:dyDescent="0.2">
      <c r="R169" s="453"/>
    </row>
    <row r="170" spans="18:18" ht="12.75" customHeight="1" x14ac:dyDescent="0.2">
      <c r="R170" s="453"/>
    </row>
    <row r="171" spans="18:18" ht="12.75" customHeight="1" x14ac:dyDescent="0.2">
      <c r="R171" s="453"/>
    </row>
    <row r="172" spans="18:18" ht="12.75" customHeight="1" x14ac:dyDescent="0.2">
      <c r="R172" s="453"/>
    </row>
    <row r="173" spans="18:18" ht="12.75" customHeight="1" x14ac:dyDescent="0.2">
      <c r="R173" s="453"/>
    </row>
    <row r="174" spans="18:18" ht="12.75" customHeight="1" x14ac:dyDescent="0.2">
      <c r="R174" s="453"/>
    </row>
    <row r="175" spans="18:18" ht="12.75" customHeight="1" x14ac:dyDescent="0.2">
      <c r="R175" s="453"/>
    </row>
    <row r="176" spans="18:18" ht="12.75" customHeight="1" x14ac:dyDescent="0.2">
      <c r="R176" s="453"/>
    </row>
    <row r="177" spans="18:18" ht="12.75" customHeight="1" x14ac:dyDescent="0.2">
      <c r="R177" s="453"/>
    </row>
    <row r="178" spans="18:18" ht="12.75" customHeight="1" x14ac:dyDescent="0.2">
      <c r="R178" s="453"/>
    </row>
    <row r="179" spans="18:18" ht="12.75" customHeight="1" x14ac:dyDescent="0.2">
      <c r="R179" s="453"/>
    </row>
    <row r="180" spans="18:18" ht="12.75" customHeight="1" x14ac:dyDescent="0.2">
      <c r="R180" s="453"/>
    </row>
    <row r="181" spans="18:18" ht="12.75" customHeight="1" x14ac:dyDescent="0.2">
      <c r="R181" s="453"/>
    </row>
    <row r="182" spans="18:18" ht="12.75" customHeight="1" x14ac:dyDescent="0.2">
      <c r="R182" s="453"/>
    </row>
    <row r="183" spans="18:18" ht="12.75" customHeight="1" x14ac:dyDescent="0.2">
      <c r="R183" s="453"/>
    </row>
    <row r="184" spans="18:18" ht="12.75" customHeight="1" x14ac:dyDescent="0.2">
      <c r="R184" s="453"/>
    </row>
    <row r="185" spans="18:18" ht="12.75" customHeight="1" x14ac:dyDescent="0.2">
      <c r="R185" s="453"/>
    </row>
    <row r="186" spans="18:18" ht="12.75" customHeight="1" x14ac:dyDescent="0.2">
      <c r="R186" s="453"/>
    </row>
    <row r="187" spans="18:18" ht="12.75" customHeight="1" x14ac:dyDescent="0.2">
      <c r="R187" s="453"/>
    </row>
    <row r="188" spans="18:18" ht="12.75" customHeight="1" x14ac:dyDescent="0.2">
      <c r="R188" s="453"/>
    </row>
    <row r="189" spans="18:18" ht="12.75" customHeight="1" x14ac:dyDescent="0.2">
      <c r="R189" s="453"/>
    </row>
    <row r="190" spans="18:18" ht="12.75" customHeight="1" x14ac:dyDescent="0.2">
      <c r="R190" s="453"/>
    </row>
    <row r="191" spans="18:18" ht="12.75" customHeight="1" x14ac:dyDescent="0.2">
      <c r="R191" s="453"/>
    </row>
    <row r="192" spans="18:18" ht="12.75" customHeight="1" x14ac:dyDescent="0.2">
      <c r="R192" s="453"/>
    </row>
    <row r="193" spans="18:18" ht="12.75" customHeight="1" x14ac:dyDescent="0.2">
      <c r="R193" s="453"/>
    </row>
    <row r="194" spans="18:18" ht="12.75" customHeight="1" x14ac:dyDescent="0.2">
      <c r="R194" s="453"/>
    </row>
    <row r="195" spans="18:18" ht="12.75" customHeight="1" x14ac:dyDescent="0.2">
      <c r="R195" s="453"/>
    </row>
    <row r="196" spans="18:18" ht="12.75" customHeight="1" x14ac:dyDescent="0.2">
      <c r="R196" s="453"/>
    </row>
    <row r="197" spans="18:18" ht="12.75" customHeight="1" x14ac:dyDescent="0.2">
      <c r="R197" s="453"/>
    </row>
    <row r="198" spans="18:18" ht="12.75" customHeight="1" x14ac:dyDescent="0.2">
      <c r="R198" s="453"/>
    </row>
    <row r="199" spans="18:18" ht="12.75" customHeight="1" x14ac:dyDescent="0.2">
      <c r="R199" s="453"/>
    </row>
    <row r="200" spans="18:18" ht="12.75" customHeight="1" x14ac:dyDescent="0.2">
      <c r="R200" s="453"/>
    </row>
    <row r="201" spans="18:18" ht="12.75" customHeight="1" x14ac:dyDescent="0.2">
      <c r="R201" s="453"/>
    </row>
    <row r="202" spans="18:18" ht="12.75" customHeight="1" x14ac:dyDescent="0.2">
      <c r="R202" s="453"/>
    </row>
    <row r="203" spans="18:18" ht="12.75" customHeight="1" x14ac:dyDescent="0.2">
      <c r="R203" s="453"/>
    </row>
    <row r="204" spans="18:18" ht="12.75" customHeight="1" x14ac:dyDescent="0.2">
      <c r="R204" s="453"/>
    </row>
    <row r="205" spans="18:18" ht="12.75" customHeight="1" x14ac:dyDescent="0.2">
      <c r="R205" s="453"/>
    </row>
    <row r="206" spans="18:18" ht="12.75" customHeight="1" x14ac:dyDescent="0.2">
      <c r="R206" s="453"/>
    </row>
    <row r="207" spans="18:18" ht="12.75" customHeight="1" x14ac:dyDescent="0.2">
      <c r="R207" s="453"/>
    </row>
    <row r="208" spans="18:18" ht="12.75" customHeight="1" x14ac:dyDescent="0.2">
      <c r="R208" s="453"/>
    </row>
    <row r="209" spans="18:18" ht="12.75" customHeight="1" x14ac:dyDescent="0.2">
      <c r="R209" s="453"/>
    </row>
    <row r="210" spans="18:18" ht="12.75" customHeight="1" x14ac:dyDescent="0.2">
      <c r="R210" s="453"/>
    </row>
    <row r="211" spans="18:18" ht="12.75" customHeight="1" x14ac:dyDescent="0.2">
      <c r="R211" s="453"/>
    </row>
    <row r="212" spans="18:18" ht="12.75" customHeight="1" x14ac:dyDescent="0.2">
      <c r="R212" s="453"/>
    </row>
    <row r="213" spans="18:18" ht="12.75" customHeight="1" x14ac:dyDescent="0.2">
      <c r="R213" s="453"/>
    </row>
    <row r="214" spans="18:18" ht="12.75" customHeight="1" x14ac:dyDescent="0.2">
      <c r="R214" s="453"/>
    </row>
    <row r="215" spans="18:18" ht="12.75" customHeight="1" x14ac:dyDescent="0.2">
      <c r="R215" s="453"/>
    </row>
    <row r="216" spans="18:18" ht="12.75" customHeight="1" x14ac:dyDescent="0.2">
      <c r="R216" s="453"/>
    </row>
    <row r="217" spans="18:18" ht="12.75" customHeight="1" x14ac:dyDescent="0.2">
      <c r="R217" s="453"/>
    </row>
    <row r="218" spans="18:18" ht="12.75" customHeight="1" x14ac:dyDescent="0.2">
      <c r="R218" s="453"/>
    </row>
    <row r="219" spans="18:18" ht="12.75" customHeight="1" x14ac:dyDescent="0.2">
      <c r="R219" s="453"/>
    </row>
    <row r="220" spans="18:18" ht="12.75" customHeight="1" x14ac:dyDescent="0.2">
      <c r="R220" s="453"/>
    </row>
    <row r="221" spans="18:18" ht="12.75" customHeight="1" x14ac:dyDescent="0.2">
      <c r="R221" s="453"/>
    </row>
    <row r="222" spans="18:18" ht="12.75" customHeight="1" x14ac:dyDescent="0.2">
      <c r="R222" s="453"/>
    </row>
    <row r="223" spans="18:18" ht="12.75" customHeight="1" x14ac:dyDescent="0.2">
      <c r="R223" s="453"/>
    </row>
    <row r="224" spans="18:18" ht="12.75" customHeight="1" x14ac:dyDescent="0.2">
      <c r="R224" s="453"/>
    </row>
    <row r="225" spans="18:18" ht="12.75" customHeight="1" x14ac:dyDescent="0.2">
      <c r="R225" s="453"/>
    </row>
    <row r="226" spans="18:18" ht="12.75" customHeight="1" x14ac:dyDescent="0.2">
      <c r="R226" s="453"/>
    </row>
    <row r="227" spans="18:18" ht="12.75" customHeight="1" x14ac:dyDescent="0.2">
      <c r="R227" s="453"/>
    </row>
    <row r="228" spans="18:18" ht="12.75" customHeight="1" x14ac:dyDescent="0.2">
      <c r="R228" s="453"/>
    </row>
    <row r="229" spans="18:18" ht="12.75" customHeight="1" x14ac:dyDescent="0.2">
      <c r="R229" s="453"/>
    </row>
    <row r="230" spans="18:18" ht="12.75" customHeight="1" x14ac:dyDescent="0.2">
      <c r="R230" s="453"/>
    </row>
    <row r="231" spans="18:18" ht="12.75" customHeight="1" x14ac:dyDescent="0.2">
      <c r="R231" s="453"/>
    </row>
    <row r="232" spans="18:18" ht="12.75" customHeight="1" x14ac:dyDescent="0.2">
      <c r="R232" s="453"/>
    </row>
    <row r="233" spans="18:18" ht="12.75" customHeight="1" x14ac:dyDescent="0.2">
      <c r="R233" s="453"/>
    </row>
    <row r="234" spans="18:18" ht="12.75" customHeight="1" x14ac:dyDescent="0.2">
      <c r="R234" s="453"/>
    </row>
    <row r="235" spans="18:18" ht="12.75" customHeight="1" x14ac:dyDescent="0.2">
      <c r="R235" s="453"/>
    </row>
    <row r="236" spans="18:18" ht="12.75" customHeight="1" x14ac:dyDescent="0.2">
      <c r="R236" s="453"/>
    </row>
    <row r="237" spans="18:18" ht="12.75" customHeight="1" x14ac:dyDescent="0.2">
      <c r="R237" s="453"/>
    </row>
    <row r="238" spans="18:18" ht="12.75" customHeight="1" x14ac:dyDescent="0.2">
      <c r="R238" s="453"/>
    </row>
    <row r="239" spans="18:18" ht="12.75" customHeight="1" x14ac:dyDescent="0.2">
      <c r="R239" s="453"/>
    </row>
    <row r="240" spans="18:18" ht="12.75" customHeight="1" x14ac:dyDescent="0.2">
      <c r="R240" s="453"/>
    </row>
    <row r="241" spans="18:18" ht="12.75" customHeight="1" x14ac:dyDescent="0.2">
      <c r="R241" s="453"/>
    </row>
    <row r="242" spans="18:18" ht="12.75" customHeight="1" x14ac:dyDescent="0.2">
      <c r="R242" s="453"/>
    </row>
    <row r="243" spans="18:18" ht="12.75" customHeight="1" x14ac:dyDescent="0.2">
      <c r="R243" s="453"/>
    </row>
    <row r="244" spans="18:18" ht="12.75" customHeight="1" x14ac:dyDescent="0.2">
      <c r="R244" s="453"/>
    </row>
    <row r="245" spans="18:18" ht="12.75" customHeight="1" x14ac:dyDescent="0.2">
      <c r="R245" s="453"/>
    </row>
    <row r="246" spans="18:18" ht="12.75" customHeight="1" x14ac:dyDescent="0.2">
      <c r="R246" s="453"/>
    </row>
    <row r="247" spans="18:18" ht="12.75" customHeight="1" x14ac:dyDescent="0.2">
      <c r="R247" s="453"/>
    </row>
    <row r="248" spans="18:18" ht="12.75" customHeight="1" x14ac:dyDescent="0.2">
      <c r="R248" s="453"/>
    </row>
    <row r="249" spans="18:18" ht="12.75" customHeight="1" x14ac:dyDescent="0.2">
      <c r="R249" s="453"/>
    </row>
    <row r="250" spans="18:18" ht="12.75" customHeight="1" x14ac:dyDescent="0.2">
      <c r="R250" s="453"/>
    </row>
    <row r="251" spans="18:18" ht="12.75" customHeight="1" x14ac:dyDescent="0.2">
      <c r="R251" s="453"/>
    </row>
    <row r="252" spans="18:18" ht="12.75" customHeight="1" x14ac:dyDescent="0.2">
      <c r="R252" s="453"/>
    </row>
    <row r="253" spans="18:18" ht="12.75" customHeight="1" x14ac:dyDescent="0.2">
      <c r="R253" s="453"/>
    </row>
    <row r="254" spans="18:18" ht="12.75" customHeight="1" x14ac:dyDescent="0.2">
      <c r="R254" s="453"/>
    </row>
    <row r="255" spans="18:18" ht="12.75" customHeight="1" x14ac:dyDescent="0.2">
      <c r="R255" s="453"/>
    </row>
    <row r="256" spans="18:18" ht="12.75" customHeight="1" x14ac:dyDescent="0.2">
      <c r="R256" s="453"/>
    </row>
    <row r="257" spans="18:18" ht="12.75" customHeight="1" x14ac:dyDescent="0.2">
      <c r="R257" s="453"/>
    </row>
    <row r="258" spans="18:18" ht="12.75" customHeight="1" x14ac:dyDescent="0.2">
      <c r="R258" s="453"/>
    </row>
    <row r="259" spans="18:18" ht="12.75" customHeight="1" x14ac:dyDescent="0.2">
      <c r="R259" s="453"/>
    </row>
    <row r="260" spans="18:18" ht="12.75" customHeight="1" x14ac:dyDescent="0.2">
      <c r="R260" s="453"/>
    </row>
    <row r="261" spans="18:18" ht="12.75" customHeight="1" x14ac:dyDescent="0.2">
      <c r="R261" s="453"/>
    </row>
    <row r="262" spans="18:18" ht="12.75" customHeight="1" x14ac:dyDescent="0.2">
      <c r="R262" s="453"/>
    </row>
    <row r="263" spans="18:18" ht="12.75" customHeight="1" x14ac:dyDescent="0.2">
      <c r="R263" s="453"/>
    </row>
    <row r="264" spans="18:18" ht="12.75" customHeight="1" x14ac:dyDescent="0.2">
      <c r="R264" s="453"/>
    </row>
    <row r="265" spans="18:18" ht="12.75" customHeight="1" x14ac:dyDescent="0.2">
      <c r="R265" s="453"/>
    </row>
    <row r="266" spans="18:18" ht="12.75" customHeight="1" x14ac:dyDescent="0.2">
      <c r="R266" s="453"/>
    </row>
    <row r="267" spans="18:18" ht="12.75" customHeight="1" x14ac:dyDescent="0.2">
      <c r="R267" s="453"/>
    </row>
    <row r="268" spans="18:18" ht="12.75" customHeight="1" x14ac:dyDescent="0.2">
      <c r="R268" s="453"/>
    </row>
    <row r="269" spans="18:18" ht="12.75" customHeight="1" x14ac:dyDescent="0.2">
      <c r="R269" s="453"/>
    </row>
    <row r="270" spans="18:18" ht="12.75" customHeight="1" x14ac:dyDescent="0.2">
      <c r="R270" s="453"/>
    </row>
    <row r="271" spans="18:18" ht="12.75" customHeight="1" x14ac:dyDescent="0.2">
      <c r="R271" s="453"/>
    </row>
    <row r="272" spans="18:18" ht="12.75" customHeight="1" x14ac:dyDescent="0.2">
      <c r="R272" s="453"/>
    </row>
    <row r="273" spans="18:18" ht="12.75" customHeight="1" x14ac:dyDescent="0.2">
      <c r="R273" s="453"/>
    </row>
    <row r="274" spans="18:18" ht="12.75" customHeight="1" x14ac:dyDescent="0.2">
      <c r="R274" s="453"/>
    </row>
    <row r="275" spans="18:18" ht="12.75" customHeight="1" x14ac:dyDescent="0.2">
      <c r="R275" s="453"/>
    </row>
    <row r="276" spans="18:18" ht="12.75" customHeight="1" x14ac:dyDescent="0.2">
      <c r="R276" s="453"/>
    </row>
    <row r="277" spans="18:18" ht="12.75" customHeight="1" x14ac:dyDescent="0.2">
      <c r="R277" s="453"/>
    </row>
    <row r="278" spans="18:18" ht="12.75" customHeight="1" x14ac:dyDescent="0.2">
      <c r="R278" s="453"/>
    </row>
    <row r="279" spans="18:18" ht="12.75" customHeight="1" x14ac:dyDescent="0.2">
      <c r="R279" s="453"/>
    </row>
    <row r="280" spans="18:18" ht="12.75" customHeight="1" x14ac:dyDescent="0.2">
      <c r="R280" s="453"/>
    </row>
    <row r="281" spans="18:18" ht="12.75" customHeight="1" x14ac:dyDescent="0.2">
      <c r="R281" s="453"/>
    </row>
    <row r="282" spans="18:18" ht="12.75" customHeight="1" x14ac:dyDescent="0.2">
      <c r="R282" s="453"/>
    </row>
    <row r="283" spans="18:18" ht="12.75" customHeight="1" x14ac:dyDescent="0.2">
      <c r="R283" s="453"/>
    </row>
    <row r="284" spans="18:18" ht="12.75" customHeight="1" x14ac:dyDescent="0.2">
      <c r="R284" s="453"/>
    </row>
    <row r="285" spans="18:18" ht="12.75" customHeight="1" x14ac:dyDescent="0.2">
      <c r="R285" s="453"/>
    </row>
    <row r="286" spans="18:18" ht="12.75" customHeight="1" x14ac:dyDescent="0.2">
      <c r="R286" s="453"/>
    </row>
    <row r="287" spans="18:18" ht="12.75" customHeight="1" x14ac:dyDescent="0.2">
      <c r="R287" s="453"/>
    </row>
    <row r="288" spans="18:18" ht="12.75" customHeight="1" x14ac:dyDescent="0.2">
      <c r="R288" s="453"/>
    </row>
    <row r="289" spans="18:18" ht="12.75" customHeight="1" x14ac:dyDescent="0.2">
      <c r="R289" s="453"/>
    </row>
    <row r="290" spans="18:18" ht="12.75" customHeight="1" x14ac:dyDescent="0.2">
      <c r="R290" s="453"/>
    </row>
    <row r="291" spans="18:18" ht="12.75" customHeight="1" x14ac:dyDescent="0.2">
      <c r="R291" s="453"/>
    </row>
    <row r="292" spans="18:18" ht="12.75" customHeight="1" x14ac:dyDescent="0.2">
      <c r="R292" s="453"/>
    </row>
    <row r="293" spans="18:18" ht="12.75" customHeight="1" x14ac:dyDescent="0.2">
      <c r="R293" s="453"/>
    </row>
    <row r="294" spans="18:18" ht="12.75" customHeight="1" x14ac:dyDescent="0.2">
      <c r="R294" s="453"/>
    </row>
    <row r="295" spans="18:18" ht="12.75" customHeight="1" x14ac:dyDescent="0.2">
      <c r="R295" s="453"/>
    </row>
    <row r="296" spans="18:18" ht="12.75" customHeight="1" x14ac:dyDescent="0.2">
      <c r="R296" s="453"/>
    </row>
    <row r="297" spans="18:18" ht="12.75" customHeight="1" x14ac:dyDescent="0.2">
      <c r="R297" s="453"/>
    </row>
    <row r="298" spans="18:18" ht="12.75" customHeight="1" x14ac:dyDescent="0.2">
      <c r="R298" s="453"/>
    </row>
    <row r="299" spans="18:18" ht="12.75" customHeight="1" x14ac:dyDescent="0.2">
      <c r="R299" s="453"/>
    </row>
    <row r="300" spans="18:18" ht="12.75" customHeight="1" x14ac:dyDescent="0.2">
      <c r="R300" s="453"/>
    </row>
    <row r="301" spans="18:18" ht="12.75" customHeight="1" x14ac:dyDescent="0.2">
      <c r="R301" s="453"/>
    </row>
    <row r="302" spans="18:18" ht="12.75" customHeight="1" x14ac:dyDescent="0.2">
      <c r="R302" s="453"/>
    </row>
    <row r="303" spans="18:18" ht="12.75" customHeight="1" x14ac:dyDescent="0.2">
      <c r="R303" s="453"/>
    </row>
    <row r="304" spans="18:18" ht="12.75" customHeight="1" x14ac:dyDescent="0.2">
      <c r="R304" s="453"/>
    </row>
    <row r="305" spans="18:18" ht="12.75" customHeight="1" x14ac:dyDescent="0.2">
      <c r="R305" s="453"/>
    </row>
    <row r="306" spans="18:18" ht="12.75" customHeight="1" x14ac:dyDescent="0.2">
      <c r="R306" s="453"/>
    </row>
    <row r="307" spans="18:18" ht="12.75" customHeight="1" x14ac:dyDescent="0.2">
      <c r="R307" s="453"/>
    </row>
    <row r="308" spans="18:18" ht="12.75" customHeight="1" x14ac:dyDescent="0.2">
      <c r="R308" s="453"/>
    </row>
    <row r="309" spans="18:18" ht="12.75" customHeight="1" x14ac:dyDescent="0.2">
      <c r="R309" s="453"/>
    </row>
    <row r="310" spans="18:18" ht="12.75" customHeight="1" x14ac:dyDescent="0.2">
      <c r="R310" s="453"/>
    </row>
    <row r="311" spans="18:18" ht="12.75" customHeight="1" x14ac:dyDescent="0.2">
      <c r="R311" s="453"/>
    </row>
    <row r="312" spans="18:18" ht="12.75" customHeight="1" x14ac:dyDescent="0.2">
      <c r="R312" s="453"/>
    </row>
    <row r="313" spans="18:18" ht="12.75" customHeight="1" x14ac:dyDescent="0.2">
      <c r="R313" s="453"/>
    </row>
    <row r="314" spans="18:18" ht="12.75" customHeight="1" x14ac:dyDescent="0.2">
      <c r="R314" s="453"/>
    </row>
    <row r="315" spans="18:18" ht="12.75" customHeight="1" x14ac:dyDescent="0.2">
      <c r="R315" s="453"/>
    </row>
    <row r="316" spans="18:18" ht="12.75" customHeight="1" x14ac:dyDescent="0.2">
      <c r="R316" s="453"/>
    </row>
    <row r="317" spans="18:18" ht="12.75" customHeight="1" x14ac:dyDescent="0.2">
      <c r="R317" s="453"/>
    </row>
    <row r="318" spans="18:18" ht="12.75" customHeight="1" x14ac:dyDescent="0.2">
      <c r="R318" s="453"/>
    </row>
    <row r="319" spans="18:18" ht="12.75" customHeight="1" x14ac:dyDescent="0.2">
      <c r="R319" s="453"/>
    </row>
    <row r="320" spans="18:18" ht="12.75" customHeight="1" x14ac:dyDescent="0.2">
      <c r="R320" s="453"/>
    </row>
    <row r="321" spans="18:18" ht="12.75" customHeight="1" x14ac:dyDescent="0.2">
      <c r="R321" s="453"/>
    </row>
    <row r="322" spans="18:18" ht="12.75" customHeight="1" x14ac:dyDescent="0.2">
      <c r="R322" s="453"/>
    </row>
    <row r="323" spans="18:18" ht="12.75" customHeight="1" x14ac:dyDescent="0.2">
      <c r="R323" s="453"/>
    </row>
    <row r="324" spans="18:18" ht="12.75" customHeight="1" x14ac:dyDescent="0.2">
      <c r="R324" s="453"/>
    </row>
    <row r="325" spans="18:18" ht="12.75" customHeight="1" x14ac:dyDescent="0.2">
      <c r="R325" s="453"/>
    </row>
    <row r="326" spans="18:18" ht="12.75" customHeight="1" x14ac:dyDescent="0.2">
      <c r="R326" s="453"/>
    </row>
    <row r="327" spans="18:18" ht="12.75" customHeight="1" x14ac:dyDescent="0.2">
      <c r="R327" s="453"/>
    </row>
    <row r="328" spans="18:18" ht="12.75" customHeight="1" x14ac:dyDescent="0.2">
      <c r="R328" s="453"/>
    </row>
    <row r="329" spans="18:18" ht="12.75" customHeight="1" x14ac:dyDescent="0.2">
      <c r="R329" s="453"/>
    </row>
    <row r="330" spans="18:18" ht="12.75" customHeight="1" x14ac:dyDescent="0.2">
      <c r="R330" s="453"/>
    </row>
    <row r="331" spans="18:18" ht="12.75" customHeight="1" x14ac:dyDescent="0.2">
      <c r="R331" s="453"/>
    </row>
    <row r="332" spans="18:18" ht="12.75" customHeight="1" x14ac:dyDescent="0.2">
      <c r="R332" s="453"/>
    </row>
    <row r="333" spans="18:18" ht="12.75" customHeight="1" x14ac:dyDescent="0.2">
      <c r="R333" s="453"/>
    </row>
    <row r="334" spans="18:18" ht="12.75" customHeight="1" x14ac:dyDescent="0.2">
      <c r="R334" s="453"/>
    </row>
    <row r="335" spans="18:18" ht="12.75" customHeight="1" x14ac:dyDescent="0.2">
      <c r="R335" s="453"/>
    </row>
    <row r="336" spans="18:18" ht="12.75" customHeight="1" x14ac:dyDescent="0.2">
      <c r="R336" s="453"/>
    </row>
    <row r="337" spans="18:18" ht="12.75" customHeight="1" x14ac:dyDescent="0.2">
      <c r="R337" s="453"/>
    </row>
    <row r="338" spans="18:18" ht="12.75" customHeight="1" x14ac:dyDescent="0.2">
      <c r="R338" s="453"/>
    </row>
    <row r="339" spans="18:18" ht="12.75" customHeight="1" x14ac:dyDescent="0.2">
      <c r="R339" s="453"/>
    </row>
    <row r="340" spans="18:18" ht="12.75" customHeight="1" x14ac:dyDescent="0.2">
      <c r="R340" s="453"/>
    </row>
    <row r="341" spans="18:18" ht="12.75" customHeight="1" x14ac:dyDescent="0.2">
      <c r="R341" s="453"/>
    </row>
    <row r="342" spans="18:18" ht="12.75" customHeight="1" x14ac:dyDescent="0.2">
      <c r="R342" s="453"/>
    </row>
    <row r="343" spans="18:18" ht="12.75" customHeight="1" x14ac:dyDescent="0.2">
      <c r="R343" s="453"/>
    </row>
    <row r="344" spans="18:18" ht="12.75" customHeight="1" x14ac:dyDescent="0.2">
      <c r="R344" s="453"/>
    </row>
    <row r="345" spans="18:18" ht="12.75" customHeight="1" x14ac:dyDescent="0.2">
      <c r="R345" s="453"/>
    </row>
    <row r="346" spans="18:18" ht="12.75" customHeight="1" x14ac:dyDescent="0.2">
      <c r="R346" s="453"/>
    </row>
    <row r="347" spans="18:18" ht="12.75" customHeight="1" x14ac:dyDescent="0.2">
      <c r="R347" s="453"/>
    </row>
    <row r="348" spans="18:18" ht="12.75" customHeight="1" x14ac:dyDescent="0.2">
      <c r="R348" s="453"/>
    </row>
    <row r="349" spans="18:18" ht="12.75" customHeight="1" x14ac:dyDescent="0.2">
      <c r="R349" s="453"/>
    </row>
    <row r="350" spans="18:18" ht="12.75" customHeight="1" x14ac:dyDescent="0.2">
      <c r="R350" s="453"/>
    </row>
    <row r="351" spans="18:18" ht="12.75" customHeight="1" x14ac:dyDescent="0.2">
      <c r="R351" s="453"/>
    </row>
    <row r="352" spans="18:18" ht="12.75" customHeight="1" x14ac:dyDescent="0.2">
      <c r="R352" s="453"/>
    </row>
    <row r="353" spans="18:18" ht="12.75" customHeight="1" x14ac:dyDescent="0.2">
      <c r="R353" s="453"/>
    </row>
    <row r="354" spans="18:18" ht="12.75" customHeight="1" x14ac:dyDescent="0.2">
      <c r="R354" s="453"/>
    </row>
    <row r="355" spans="18:18" ht="12.75" customHeight="1" x14ac:dyDescent="0.2">
      <c r="R355" s="453"/>
    </row>
    <row r="356" spans="18:18" ht="12.75" customHeight="1" x14ac:dyDescent="0.2">
      <c r="R356" s="453"/>
    </row>
    <row r="357" spans="18:18" ht="12.75" customHeight="1" x14ac:dyDescent="0.2">
      <c r="R357" s="453"/>
    </row>
    <row r="358" spans="18:18" ht="12.75" customHeight="1" x14ac:dyDescent="0.2">
      <c r="R358" s="453"/>
    </row>
    <row r="359" spans="18:18" ht="12.75" customHeight="1" x14ac:dyDescent="0.2">
      <c r="R359" s="453"/>
    </row>
    <row r="360" spans="18:18" ht="12.75" customHeight="1" x14ac:dyDescent="0.2">
      <c r="R360" s="453"/>
    </row>
    <row r="361" spans="18:18" ht="12.75" customHeight="1" x14ac:dyDescent="0.2">
      <c r="R361" s="453"/>
    </row>
    <row r="362" spans="18:18" ht="12.75" customHeight="1" x14ac:dyDescent="0.2">
      <c r="R362" s="453"/>
    </row>
    <row r="363" spans="18:18" ht="12.75" customHeight="1" x14ac:dyDescent="0.2">
      <c r="R363" s="453"/>
    </row>
    <row r="364" spans="18:18" ht="12.75" customHeight="1" x14ac:dyDescent="0.2">
      <c r="R364" s="453"/>
    </row>
    <row r="365" spans="18:18" ht="12.75" customHeight="1" x14ac:dyDescent="0.2">
      <c r="R365" s="453"/>
    </row>
    <row r="366" spans="18:18" ht="12.75" customHeight="1" x14ac:dyDescent="0.2">
      <c r="R366" s="453"/>
    </row>
    <row r="367" spans="18:18" ht="12.75" customHeight="1" x14ac:dyDescent="0.2">
      <c r="R367" s="453"/>
    </row>
    <row r="368" spans="18:18" ht="12.75" customHeight="1" x14ac:dyDescent="0.2">
      <c r="R368" s="453"/>
    </row>
    <row r="369" spans="18:18" ht="12.75" customHeight="1" x14ac:dyDescent="0.2">
      <c r="R369" s="453"/>
    </row>
    <row r="370" spans="18:18" ht="12.75" customHeight="1" x14ac:dyDescent="0.2">
      <c r="R370" s="453"/>
    </row>
    <row r="371" spans="18:18" ht="12.75" customHeight="1" x14ac:dyDescent="0.2">
      <c r="R371" s="453"/>
    </row>
    <row r="372" spans="18:18" ht="12.75" customHeight="1" x14ac:dyDescent="0.2">
      <c r="R372" s="453"/>
    </row>
    <row r="373" spans="18:18" ht="12.75" customHeight="1" x14ac:dyDescent="0.2">
      <c r="R373" s="453"/>
    </row>
    <row r="374" spans="18:18" ht="12.75" customHeight="1" x14ac:dyDescent="0.2">
      <c r="R374" s="453"/>
    </row>
    <row r="375" spans="18:18" ht="12.75" customHeight="1" x14ac:dyDescent="0.2">
      <c r="R375" s="453"/>
    </row>
    <row r="376" spans="18:18" ht="12.75" customHeight="1" x14ac:dyDescent="0.2">
      <c r="R376" s="453"/>
    </row>
    <row r="377" spans="18:18" ht="12.75" customHeight="1" x14ac:dyDescent="0.2">
      <c r="R377" s="453"/>
    </row>
    <row r="378" spans="18:18" ht="12.75" customHeight="1" x14ac:dyDescent="0.2">
      <c r="R378" s="453"/>
    </row>
    <row r="379" spans="18:18" ht="12.75" customHeight="1" x14ac:dyDescent="0.2">
      <c r="R379" s="453"/>
    </row>
    <row r="380" spans="18:18" ht="12.75" customHeight="1" x14ac:dyDescent="0.2">
      <c r="R380" s="453"/>
    </row>
    <row r="381" spans="18:18" ht="12.75" customHeight="1" x14ac:dyDescent="0.2">
      <c r="R381" s="453"/>
    </row>
    <row r="382" spans="18:18" ht="12.75" customHeight="1" x14ac:dyDescent="0.2">
      <c r="R382" s="453"/>
    </row>
    <row r="383" spans="18:18" ht="12.75" customHeight="1" x14ac:dyDescent="0.2">
      <c r="R383" s="453"/>
    </row>
    <row r="384" spans="18:18" ht="12.75" customHeight="1" x14ac:dyDescent="0.2">
      <c r="R384" s="453"/>
    </row>
    <row r="385" spans="18:18" ht="12.75" customHeight="1" x14ac:dyDescent="0.2">
      <c r="R385" s="453"/>
    </row>
    <row r="386" spans="18:18" ht="12.75" customHeight="1" x14ac:dyDescent="0.2">
      <c r="R386" s="453"/>
    </row>
    <row r="387" spans="18:18" ht="12.75" customHeight="1" x14ac:dyDescent="0.2">
      <c r="R387" s="453"/>
    </row>
    <row r="388" spans="18:18" ht="12.75" customHeight="1" x14ac:dyDescent="0.2">
      <c r="R388" s="453"/>
    </row>
    <row r="389" spans="18:18" ht="12.75" customHeight="1" x14ac:dyDescent="0.2">
      <c r="R389" s="453"/>
    </row>
    <row r="390" spans="18:18" ht="12.75" customHeight="1" x14ac:dyDescent="0.2">
      <c r="R390" s="453"/>
    </row>
    <row r="391" spans="18:18" ht="12.75" customHeight="1" x14ac:dyDescent="0.2">
      <c r="R391" s="453"/>
    </row>
    <row r="392" spans="18:18" ht="12.75" customHeight="1" x14ac:dyDescent="0.2">
      <c r="R392" s="453"/>
    </row>
    <row r="393" spans="18:18" ht="12.75" customHeight="1" x14ac:dyDescent="0.2">
      <c r="R393" s="453"/>
    </row>
    <row r="394" spans="18:18" ht="12.75" customHeight="1" x14ac:dyDescent="0.2">
      <c r="R394" s="453"/>
    </row>
    <row r="395" spans="18:18" ht="12.75" customHeight="1" x14ac:dyDescent="0.2">
      <c r="R395" s="453"/>
    </row>
    <row r="396" spans="18:18" ht="12.75" customHeight="1" x14ac:dyDescent="0.2">
      <c r="R396" s="453"/>
    </row>
    <row r="397" spans="18:18" ht="12.75" customHeight="1" x14ac:dyDescent="0.2">
      <c r="R397" s="453"/>
    </row>
    <row r="398" spans="18:18" ht="12.75" customHeight="1" x14ac:dyDescent="0.2">
      <c r="R398" s="453"/>
    </row>
    <row r="399" spans="18:18" ht="12.75" customHeight="1" x14ac:dyDescent="0.2">
      <c r="R399" s="453"/>
    </row>
    <row r="400" spans="18:18" ht="12.75" customHeight="1" x14ac:dyDescent="0.2">
      <c r="R400" s="453"/>
    </row>
    <row r="401" spans="18:18" ht="12.75" customHeight="1" x14ac:dyDescent="0.2">
      <c r="R401" s="453"/>
    </row>
    <row r="402" spans="18:18" ht="12.75" customHeight="1" x14ac:dyDescent="0.2">
      <c r="R402" s="453"/>
    </row>
    <row r="403" spans="18:18" ht="12.75" customHeight="1" x14ac:dyDescent="0.2">
      <c r="R403" s="453"/>
    </row>
    <row r="404" spans="18:18" ht="12.75" customHeight="1" x14ac:dyDescent="0.2">
      <c r="R404" s="453"/>
    </row>
    <row r="405" spans="18:18" ht="12.75" customHeight="1" x14ac:dyDescent="0.2">
      <c r="R405" s="453"/>
    </row>
    <row r="406" spans="18:18" ht="12.75" customHeight="1" x14ac:dyDescent="0.2">
      <c r="R406" s="453"/>
    </row>
    <row r="407" spans="18:18" ht="12.75" customHeight="1" x14ac:dyDescent="0.2">
      <c r="R407" s="453"/>
    </row>
    <row r="408" spans="18:18" ht="12.75" customHeight="1" x14ac:dyDescent="0.2">
      <c r="R408" s="453"/>
    </row>
    <row r="409" spans="18:18" ht="12.75" customHeight="1" x14ac:dyDescent="0.2">
      <c r="R409" s="453"/>
    </row>
    <row r="410" spans="18:18" ht="12.75" customHeight="1" x14ac:dyDescent="0.2">
      <c r="R410" s="453"/>
    </row>
    <row r="411" spans="18:18" ht="12.75" customHeight="1" x14ac:dyDescent="0.2">
      <c r="R411" s="453"/>
    </row>
    <row r="412" spans="18:18" ht="12.75" customHeight="1" x14ac:dyDescent="0.2">
      <c r="R412" s="453"/>
    </row>
    <row r="413" spans="18:18" ht="12.75" customHeight="1" x14ac:dyDescent="0.2">
      <c r="R413" s="453"/>
    </row>
    <row r="414" spans="18:18" ht="12.75" customHeight="1" x14ac:dyDescent="0.2">
      <c r="R414" s="453"/>
    </row>
    <row r="415" spans="18:18" ht="12.75" customHeight="1" x14ac:dyDescent="0.2">
      <c r="R415" s="453"/>
    </row>
    <row r="416" spans="18:18" ht="12.75" customHeight="1" x14ac:dyDescent="0.2">
      <c r="R416" s="453"/>
    </row>
    <row r="417" spans="18:18" ht="12.75" customHeight="1" x14ac:dyDescent="0.2">
      <c r="R417" s="453"/>
    </row>
    <row r="418" spans="18:18" ht="12.75" customHeight="1" x14ac:dyDescent="0.2">
      <c r="R418" s="453"/>
    </row>
    <row r="419" spans="18:18" ht="12.75" customHeight="1" x14ac:dyDescent="0.2">
      <c r="R419" s="453"/>
    </row>
    <row r="420" spans="18:18" ht="12.75" customHeight="1" x14ac:dyDescent="0.2">
      <c r="R420" s="453"/>
    </row>
    <row r="421" spans="18:18" ht="12.75" customHeight="1" x14ac:dyDescent="0.2">
      <c r="R421" s="453"/>
    </row>
    <row r="422" spans="18:18" ht="12.75" customHeight="1" x14ac:dyDescent="0.2">
      <c r="R422" s="453"/>
    </row>
    <row r="423" spans="18:18" ht="12.75" customHeight="1" x14ac:dyDescent="0.2">
      <c r="R423" s="453"/>
    </row>
    <row r="424" spans="18:18" ht="12.75" customHeight="1" x14ac:dyDescent="0.2">
      <c r="R424" s="453"/>
    </row>
    <row r="425" spans="18:18" ht="12.75" customHeight="1" x14ac:dyDescent="0.2">
      <c r="R425" s="453"/>
    </row>
    <row r="426" spans="18:18" ht="12.75" customHeight="1" x14ac:dyDescent="0.2">
      <c r="R426" s="453"/>
    </row>
    <row r="427" spans="18:18" ht="12.75" customHeight="1" x14ac:dyDescent="0.2">
      <c r="R427" s="453"/>
    </row>
    <row r="428" spans="18:18" ht="12.75" customHeight="1" x14ac:dyDescent="0.2">
      <c r="R428" s="453"/>
    </row>
    <row r="429" spans="18:18" ht="12.75" customHeight="1" x14ac:dyDescent="0.2">
      <c r="R429" s="453"/>
    </row>
    <row r="430" spans="18:18" ht="12.75" customHeight="1" x14ac:dyDescent="0.2">
      <c r="R430" s="453"/>
    </row>
    <row r="431" spans="18:18" ht="12.75" customHeight="1" x14ac:dyDescent="0.2">
      <c r="R431" s="453"/>
    </row>
    <row r="432" spans="18:18" ht="12.75" customHeight="1" x14ac:dyDescent="0.2">
      <c r="R432" s="453"/>
    </row>
    <row r="433" spans="18:18" ht="12.75" customHeight="1" x14ac:dyDescent="0.2">
      <c r="R433" s="453"/>
    </row>
    <row r="434" spans="18:18" ht="12.75" customHeight="1" x14ac:dyDescent="0.2">
      <c r="R434" s="453"/>
    </row>
    <row r="435" spans="18:18" ht="12.75" customHeight="1" x14ac:dyDescent="0.2">
      <c r="R435" s="453"/>
    </row>
    <row r="436" spans="18:18" ht="12.75" customHeight="1" x14ac:dyDescent="0.2">
      <c r="R436" s="453"/>
    </row>
    <row r="437" spans="18:18" ht="12.75" customHeight="1" x14ac:dyDescent="0.2">
      <c r="R437" s="453"/>
    </row>
    <row r="438" spans="18:18" ht="12.75" customHeight="1" x14ac:dyDescent="0.2">
      <c r="R438" s="453"/>
    </row>
    <row r="439" spans="18:18" ht="12.75" customHeight="1" x14ac:dyDescent="0.2">
      <c r="R439" s="453"/>
    </row>
    <row r="440" spans="18:18" ht="12.75" customHeight="1" x14ac:dyDescent="0.2">
      <c r="R440" s="453"/>
    </row>
    <row r="441" spans="18:18" ht="12.75" customHeight="1" x14ac:dyDescent="0.2">
      <c r="R441" s="453"/>
    </row>
    <row r="442" spans="18:18" ht="12.75" customHeight="1" x14ac:dyDescent="0.2">
      <c r="R442" s="453"/>
    </row>
    <row r="443" spans="18:18" ht="12.75" customHeight="1" x14ac:dyDescent="0.2">
      <c r="R443" s="453"/>
    </row>
    <row r="444" spans="18:18" ht="12.75" customHeight="1" x14ac:dyDescent="0.2">
      <c r="R444" s="453"/>
    </row>
    <row r="445" spans="18:18" ht="12.75" customHeight="1" x14ac:dyDescent="0.2">
      <c r="R445" s="453"/>
    </row>
    <row r="446" spans="18:18" ht="12.75" customHeight="1" x14ac:dyDescent="0.2">
      <c r="R446" s="453"/>
    </row>
    <row r="447" spans="18:18" ht="12.75" customHeight="1" x14ac:dyDescent="0.2">
      <c r="R447" s="453"/>
    </row>
    <row r="448" spans="18:18" ht="12.75" customHeight="1" x14ac:dyDescent="0.2">
      <c r="R448" s="453"/>
    </row>
    <row r="449" spans="18:18" ht="12.75" customHeight="1" x14ac:dyDescent="0.2">
      <c r="R449" s="453"/>
    </row>
    <row r="450" spans="18:18" ht="12.75" customHeight="1" x14ac:dyDescent="0.2">
      <c r="R450" s="453"/>
    </row>
    <row r="451" spans="18:18" ht="12.75" customHeight="1" x14ac:dyDescent="0.2">
      <c r="R451" s="453"/>
    </row>
    <row r="452" spans="18:18" ht="12.75" customHeight="1" x14ac:dyDescent="0.2">
      <c r="R452" s="453"/>
    </row>
    <row r="453" spans="18:18" ht="12.75" customHeight="1" x14ac:dyDescent="0.2">
      <c r="R453" s="453"/>
    </row>
    <row r="454" spans="18:18" ht="12.75" customHeight="1" x14ac:dyDescent="0.2">
      <c r="R454" s="453"/>
    </row>
    <row r="455" spans="18:18" ht="12.75" customHeight="1" x14ac:dyDescent="0.2">
      <c r="R455" s="453"/>
    </row>
    <row r="456" spans="18:18" ht="12.75" customHeight="1" x14ac:dyDescent="0.2">
      <c r="R456" s="453"/>
    </row>
    <row r="457" spans="18:18" ht="12.75" customHeight="1" x14ac:dyDescent="0.2">
      <c r="R457" s="453"/>
    </row>
    <row r="458" spans="18:18" ht="12.75" customHeight="1" x14ac:dyDescent="0.2">
      <c r="R458" s="453"/>
    </row>
    <row r="459" spans="18:18" ht="12.75" customHeight="1" x14ac:dyDescent="0.2">
      <c r="R459" s="453"/>
    </row>
    <row r="460" spans="18:18" ht="12.75" customHeight="1" x14ac:dyDescent="0.2">
      <c r="R460" s="453"/>
    </row>
    <row r="461" spans="18:18" ht="12.75" customHeight="1" x14ac:dyDescent="0.2">
      <c r="R461" s="453"/>
    </row>
    <row r="462" spans="18:18" ht="12.75" customHeight="1" x14ac:dyDescent="0.2">
      <c r="R462" s="453"/>
    </row>
    <row r="463" spans="18:18" ht="12.75" customHeight="1" x14ac:dyDescent="0.2">
      <c r="R463" s="453"/>
    </row>
    <row r="464" spans="18:18" ht="12.75" customHeight="1" x14ac:dyDescent="0.2">
      <c r="R464" s="453"/>
    </row>
    <row r="465" spans="18:18" ht="12.75" customHeight="1" x14ac:dyDescent="0.2">
      <c r="R465" s="453"/>
    </row>
    <row r="466" spans="18:18" ht="12.75" customHeight="1" x14ac:dyDescent="0.2">
      <c r="R466" s="453"/>
    </row>
    <row r="467" spans="18:18" ht="12.75" customHeight="1" x14ac:dyDescent="0.2">
      <c r="R467" s="453"/>
    </row>
    <row r="468" spans="18:18" ht="12.75" customHeight="1" x14ac:dyDescent="0.2">
      <c r="R468" s="453"/>
    </row>
    <row r="469" spans="18:18" ht="12.75" customHeight="1" x14ac:dyDescent="0.2">
      <c r="R469" s="453"/>
    </row>
    <row r="470" spans="18:18" ht="12.75" customHeight="1" x14ac:dyDescent="0.2">
      <c r="R470" s="453"/>
    </row>
    <row r="471" spans="18:18" ht="12.75" customHeight="1" x14ac:dyDescent="0.2">
      <c r="R471" s="453"/>
    </row>
    <row r="472" spans="18:18" ht="12.75" customHeight="1" x14ac:dyDescent="0.2">
      <c r="R472" s="453"/>
    </row>
    <row r="473" spans="18:18" ht="12.75" customHeight="1" x14ac:dyDescent="0.2">
      <c r="R473" s="453"/>
    </row>
    <row r="474" spans="18:18" ht="12.75" customHeight="1" x14ac:dyDescent="0.2">
      <c r="R474" s="453"/>
    </row>
    <row r="475" spans="18:18" ht="12.75" customHeight="1" x14ac:dyDescent="0.2">
      <c r="R475" s="453"/>
    </row>
    <row r="476" spans="18:18" ht="12.75" customHeight="1" x14ac:dyDescent="0.2">
      <c r="R476" s="453"/>
    </row>
    <row r="477" spans="18:18" ht="12.75" customHeight="1" x14ac:dyDescent="0.2">
      <c r="R477" s="453"/>
    </row>
    <row r="478" spans="18:18" ht="12.75" customHeight="1" x14ac:dyDescent="0.2">
      <c r="R478" s="453"/>
    </row>
    <row r="479" spans="18:18" ht="12.75" customHeight="1" x14ac:dyDescent="0.2">
      <c r="R479" s="453"/>
    </row>
    <row r="480" spans="18:18" ht="12.75" customHeight="1" x14ac:dyDescent="0.2">
      <c r="R480" s="453"/>
    </row>
    <row r="481" spans="18:18" ht="12.75" customHeight="1" x14ac:dyDescent="0.2">
      <c r="R481" s="453"/>
    </row>
    <row r="482" spans="18:18" ht="12.75" customHeight="1" x14ac:dyDescent="0.2">
      <c r="R482" s="453"/>
    </row>
    <row r="483" spans="18:18" ht="12.75" customHeight="1" x14ac:dyDescent="0.2">
      <c r="R483" s="453"/>
    </row>
    <row r="484" spans="18:18" ht="12.75" customHeight="1" x14ac:dyDescent="0.2">
      <c r="R484" s="453"/>
    </row>
    <row r="485" spans="18:18" ht="12.75" customHeight="1" x14ac:dyDescent="0.2">
      <c r="R485" s="453"/>
    </row>
    <row r="486" spans="18:18" ht="12.75" customHeight="1" x14ac:dyDescent="0.2">
      <c r="R486" s="453"/>
    </row>
    <row r="487" spans="18:18" ht="12.75" customHeight="1" x14ac:dyDescent="0.2">
      <c r="R487" s="453"/>
    </row>
    <row r="488" spans="18:18" ht="12.75" customHeight="1" x14ac:dyDescent="0.2">
      <c r="R488" s="453"/>
    </row>
    <row r="489" spans="18:18" ht="12.75" customHeight="1" x14ac:dyDescent="0.2">
      <c r="R489" s="453"/>
    </row>
    <row r="490" spans="18:18" ht="12.75" customHeight="1" x14ac:dyDescent="0.2">
      <c r="R490" s="453"/>
    </row>
    <row r="491" spans="18:18" ht="12.75" customHeight="1" x14ac:dyDescent="0.2">
      <c r="R491" s="453"/>
    </row>
    <row r="492" spans="18:18" ht="12.75" customHeight="1" x14ac:dyDescent="0.2">
      <c r="R492" s="453"/>
    </row>
    <row r="493" spans="18:18" ht="12.75" customHeight="1" x14ac:dyDescent="0.2">
      <c r="R493" s="453"/>
    </row>
    <row r="494" spans="18:18" ht="12.75" customHeight="1" x14ac:dyDescent="0.2">
      <c r="R494" s="453"/>
    </row>
    <row r="495" spans="18:18" ht="12.75" customHeight="1" x14ac:dyDescent="0.2">
      <c r="R495" s="453"/>
    </row>
    <row r="496" spans="18:18" ht="12.75" customHeight="1" x14ac:dyDescent="0.2">
      <c r="R496" s="453"/>
    </row>
    <row r="497" spans="18:18" ht="12.75" customHeight="1" x14ac:dyDescent="0.2">
      <c r="R497" s="453"/>
    </row>
    <row r="498" spans="18:18" ht="12.75" customHeight="1" x14ac:dyDescent="0.2">
      <c r="R498" s="453"/>
    </row>
    <row r="499" spans="18:18" ht="12.75" customHeight="1" x14ac:dyDescent="0.2">
      <c r="R499" s="453"/>
    </row>
    <row r="500" spans="18:18" ht="12.75" customHeight="1" x14ac:dyDescent="0.2">
      <c r="R500" s="453"/>
    </row>
    <row r="501" spans="18:18" ht="12.75" customHeight="1" x14ac:dyDescent="0.2">
      <c r="R501" s="453"/>
    </row>
    <row r="502" spans="18:18" ht="12.75" customHeight="1" x14ac:dyDescent="0.2">
      <c r="R502" s="453"/>
    </row>
    <row r="503" spans="18:18" ht="12.75" customHeight="1" x14ac:dyDescent="0.2">
      <c r="R503" s="453"/>
    </row>
    <row r="504" spans="18:18" ht="12.75" customHeight="1" x14ac:dyDescent="0.2">
      <c r="R504" s="453"/>
    </row>
    <row r="505" spans="18:18" ht="12.75" customHeight="1" x14ac:dyDescent="0.2">
      <c r="R505" s="453"/>
    </row>
    <row r="506" spans="18:18" ht="12.75" customHeight="1" x14ac:dyDescent="0.2">
      <c r="R506" s="453"/>
    </row>
    <row r="507" spans="18:18" ht="12.75" customHeight="1" x14ac:dyDescent="0.2">
      <c r="R507" s="453"/>
    </row>
    <row r="508" spans="18:18" ht="12.75" customHeight="1" x14ac:dyDescent="0.2">
      <c r="R508" s="453"/>
    </row>
    <row r="509" spans="18:18" ht="12.75" customHeight="1" x14ac:dyDescent="0.2">
      <c r="R509" s="453"/>
    </row>
    <row r="510" spans="18:18" ht="12.75" customHeight="1" x14ac:dyDescent="0.2">
      <c r="R510" s="453"/>
    </row>
    <row r="511" spans="18:18" ht="12.75" customHeight="1" x14ac:dyDescent="0.2">
      <c r="R511" s="453"/>
    </row>
    <row r="512" spans="18:18" ht="12.75" customHeight="1" x14ac:dyDescent="0.2">
      <c r="R512" s="453"/>
    </row>
    <row r="513" spans="18:18" ht="12.75" customHeight="1" x14ac:dyDescent="0.2">
      <c r="R513" s="453"/>
    </row>
    <row r="514" spans="18:18" ht="12.75" customHeight="1" x14ac:dyDescent="0.2">
      <c r="R514" s="453"/>
    </row>
    <row r="515" spans="18:18" ht="12.75" customHeight="1" x14ac:dyDescent="0.2">
      <c r="R515" s="453"/>
    </row>
    <row r="516" spans="18:18" ht="12.75" customHeight="1" x14ac:dyDescent="0.2">
      <c r="R516" s="453"/>
    </row>
    <row r="517" spans="18:18" ht="12.75" customHeight="1" x14ac:dyDescent="0.2">
      <c r="R517" s="453"/>
    </row>
    <row r="518" spans="18:18" ht="12.75" customHeight="1" x14ac:dyDescent="0.2">
      <c r="R518" s="453"/>
    </row>
    <row r="519" spans="18:18" ht="12.75" customHeight="1" x14ac:dyDescent="0.2">
      <c r="R519" s="453"/>
    </row>
    <row r="520" spans="18:18" ht="12.75" customHeight="1" x14ac:dyDescent="0.2">
      <c r="R520" s="453"/>
    </row>
    <row r="521" spans="18:18" ht="12.75" customHeight="1" x14ac:dyDescent="0.2">
      <c r="R521" s="453"/>
    </row>
    <row r="522" spans="18:18" ht="12.75" customHeight="1" x14ac:dyDescent="0.2">
      <c r="R522" s="453"/>
    </row>
    <row r="523" spans="18:18" ht="12.75" customHeight="1" x14ac:dyDescent="0.2">
      <c r="R523" s="453"/>
    </row>
    <row r="524" spans="18:18" ht="12.75" customHeight="1" x14ac:dyDescent="0.2">
      <c r="R524" s="453"/>
    </row>
    <row r="525" spans="18:18" ht="12.75" customHeight="1" x14ac:dyDescent="0.2">
      <c r="R525" s="453"/>
    </row>
    <row r="526" spans="18:18" ht="12.75" customHeight="1" x14ac:dyDescent="0.2">
      <c r="R526" s="453"/>
    </row>
    <row r="527" spans="18:18" ht="12.75" customHeight="1" x14ac:dyDescent="0.2">
      <c r="R527" s="453"/>
    </row>
    <row r="528" spans="18:18" ht="12.75" customHeight="1" x14ac:dyDescent="0.2">
      <c r="R528" s="453"/>
    </row>
    <row r="529" spans="18:18" ht="12.75" customHeight="1" x14ac:dyDescent="0.2">
      <c r="R529" s="453"/>
    </row>
    <row r="530" spans="18:18" ht="12.75" customHeight="1" x14ac:dyDescent="0.2">
      <c r="R530" s="453"/>
    </row>
    <row r="531" spans="18:18" ht="12.75" customHeight="1" x14ac:dyDescent="0.2">
      <c r="R531" s="453"/>
    </row>
    <row r="532" spans="18:18" ht="12.75" customHeight="1" x14ac:dyDescent="0.2">
      <c r="R532" s="453"/>
    </row>
    <row r="533" spans="18:18" ht="12.75" customHeight="1" x14ac:dyDescent="0.2">
      <c r="R533" s="453"/>
    </row>
    <row r="534" spans="18:18" ht="12.75" customHeight="1" x14ac:dyDescent="0.2">
      <c r="R534" s="453"/>
    </row>
    <row r="535" spans="18:18" ht="12.75" customHeight="1" x14ac:dyDescent="0.2">
      <c r="R535" s="453"/>
    </row>
    <row r="536" spans="18:18" ht="12.75" customHeight="1" x14ac:dyDescent="0.2">
      <c r="R536" s="453"/>
    </row>
    <row r="537" spans="18:18" ht="12.75" customHeight="1" x14ac:dyDescent="0.2">
      <c r="R537" s="453"/>
    </row>
    <row r="538" spans="18:18" ht="12.75" customHeight="1" x14ac:dyDescent="0.2">
      <c r="R538" s="453"/>
    </row>
    <row r="539" spans="18:18" ht="12.75" customHeight="1" x14ac:dyDescent="0.2">
      <c r="R539" s="453"/>
    </row>
    <row r="540" spans="18:18" ht="12.75" customHeight="1" x14ac:dyDescent="0.2">
      <c r="R540" s="453"/>
    </row>
    <row r="541" spans="18:18" ht="12.75" customHeight="1" x14ac:dyDescent="0.2">
      <c r="R541" s="453"/>
    </row>
    <row r="542" spans="18:18" ht="12.75" customHeight="1" x14ac:dyDescent="0.2">
      <c r="R542" s="453"/>
    </row>
    <row r="543" spans="18:18" ht="12.75" customHeight="1" x14ac:dyDescent="0.2">
      <c r="R543" s="453"/>
    </row>
    <row r="544" spans="18:18" ht="12.75" customHeight="1" x14ac:dyDescent="0.2">
      <c r="R544" s="453"/>
    </row>
    <row r="545" spans="18:18" ht="12.75" customHeight="1" x14ac:dyDescent="0.2">
      <c r="R545" s="453"/>
    </row>
    <row r="546" spans="18:18" ht="12.75" customHeight="1" x14ac:dyDescent="0.2">
      <c r="R546" s="453"/>
    </row>
    <row r="547" spans="18:18" ht="12.75" customHeight="1" x14ac:dyDescent="0.2">
      <c r="R547" s="453"/>
    </row>
    <row r="548" spans="18:18" ht="12.75" customHeight="1" x14ac:dyDescent="0.2">
      <c r="R548" s="453"/>
    </row>
    <row r="549" spans="18:18" ht="12.75" customHeight="1" x14ac:dyDescent="0.2">
      <c r="R549" s="453"/>
    </row>
    <row r="550" spans="18:18" ht="12.75" customHeight="1" x14ac:dyDescent="0.2">
      <c r="R550" s="453"/>
    </row>
    <row r="551" spans="18:18" ht="12.75" customHeight="1" x14ac:dyDescent="0.2">
      <c r="R551" s="453"/>
    </row>
    <row r="552" spans="18:18" ht="12.75" customHeight="1" x14ac:dyDescent="0.2">
      <c r="R552" s="453"/>
    </row>
    <row r="553" spans="18:18" ht="12.75" customHeight="1" x14ac:dyDescent="0.2">
      <c r="R553" s="453"/>
    </row>
    <row r="554" spans="18:18" ht="12.75" customHeight="1" x14ac:dyDescent="0.2">
      <c r="R554" s="453"/>
    </row>
    <row r="555" spans="18:18" ht="12.75" customHeight="1" x14ac:dyDescent="0.2">
      <c r="R555" s="453"/>
    </row>
    <row r="556" spans="18:18" ht="12.75" customHeight="1" x14ac:dyDescent="0.2">
      <c r="R556" s="453"/>
    </row>
    <row r="557" spans="18:18" ht="12.75" customHeight="1" x14ac:dyDescent="0.2">
      <c r="R557" s="453"/>
    </row>
    <row r="558" spans="18:18" ht="12.75" customHeight="1" x14ac:dyDescent="0.2">
      <c r="R558" s="453"/>
    </row>
    <row r="559" spans="18:18" ht="12.75" customHeight="1" x14ac:dyDescent="0.2">
      <c r="R559" s="453"/>
    </row>
    <row r="560" spans="18:18" ht="12.75" customHeight="1" x14ac:dyDescent="0.2">
      <c r="R560" s="453"/>
    </row>
    <row r="561" spans="18:18" ht="12.75" customHeight="1" x14ac:dyDescent="0.2">
      <c r="R561" s="453"/>
    </row>
    <row r="562" spans="18:18" ht="12.75" customHeight="1" x14ac:dyDescent="0.2">
      <c r="R562" s="453"/>
    </row>
    <row r="563" spans="18:18" ht="12.75" customHeight="1" x14ac:dyDescent="0.2">
      <c r="R563" s="453"/>
    </row>
    <row r="564" spans="18:18" ht="12.75" customHeight="1" x14ac:dyDescent="0.2">
      <c r="R564" s="453"/>
    </row>
    <row r="565" spans="18:18" ht="12.75" customHeight="1" x14ac:dyDescent="0.2">
      <c r="R565" s="453"/>
    </row>
    <row r="566" spans="18:18" ht="12.75" customHeight="1" x14ac:dyDescent="0.2">
      <c r="R566" s="453"/>
    </row>
    <row r="567" spans="18:18" ht="12.75" customHeight="1" x14ac:dyDescent="0.2">
      <c r="R567" s="453"/>
    </row>
    <row r="568" spans="18:18" ht="12.75" customHeight="1" x14ac:dyDescent="0.2">
      <c r="R568" s="453"/>
    </row>
    <row r="569" spans="18:18" ht="12.75" customHeight="1" x14ac:dyDescent="0.2">
      <c r="R569" s="453"/>
    </row>
    <row r="570" spans="18:18" ht="12.75" customHeight="1" x14ac:dyDescent="0.2">
      <c r="R570" s="453"/>
    </row>
    <row r="571" spans="18:18" ht="12.75" customHeight="1" x14ac:dyDescent="0.2">
      <c r="R571" s="453"/>
    </row>
    <row r="572" spans="18:18" ht="12.75" customHeight="1" x14ac:dyDescent="0.2">
      <c r="R572" s="453"/>
    </row>
    <row r="573" spans="18:18" ht="12.75" customHeight="1" x14ac:dyDescent="0.2">
      <c r="R573" s="453"/>
    </row>
    <row r="574" spans="18:18" ht="12.75" customHeight="1" x14ac:dyDescent="0.2">
      <c r="R574" s="453"/>
    </row>
    <row r="575" spans="18:18" ht="12.75" customHeight="1" x14ac:dyDescent="0.2">
      <c r="R575" s="453"/>
    </row>
    <row r="576" spans="18:18" ht="12.75" customHeight="1" x14ac:dyDescent="0.2">
      <c r="R576" s="453"/>
    </row>
    <row r="577" spans="18:18" ht="12.75" customHeight="1" x14ac:dyDescent="0.2">
      <c r="R577" s="453"/>
    </row>
    <row r="578" spans="18:18" ht="12.75" customHeight="1" x14ac:dyDescent="0.2">
      <c r="R578" s="453"/>
    </row>
    <row r="579" spans="18:18" ht="12.75" customHeight="1" x14ac:dyDescent="0.2">
      <c r="R579" s="453"/>
    </row>
    <row r="580" spans="18:18" ht="12.75" customHeight="1" x14ac:dyDescent="0.2">
      <c r="R580" s="453"/>
    </row>
    <row r="581" spans="18:18" ht="12.75" customHeight="1" x14ac:dyDescent="0.2">
      <c r="R581" s="453"/>
    </row>
    <row r="582" spans="18:18" ht="12.75" customHeight="1" x14ac:dyDescent="0.2">
      <c r="R582" s="453"/>
    </row>
    <row r="583" spans="18:18" ht="12.75" customHeight="1" x14ac:dyDescent="0.2">
      <c r="R583" s="453"/>
    </row>
    <row r="584" spans="18:18" ht="12.75" customHeight="1" x14ac:dyDescent="0.2">
      <c r="R584" s="453"/>
    </row>
    <row r="585" spans="18:18" ht="12.75" customHeight="1" x14ac:dyDescent="0.2">
      <c r="R585" s="453"/>
    </row>
    <row r="586" spans="18:18" ht="12.75" customHeight="1" x14ac:dyDescent="0.2">
      <c r="R586" s="453"/>
    </row>
    <row r="587" spans="18:18" ht="12.75" customHeight="1" x14ac:dyDescent="0.2">
      <c r="R587" s="453"/>
    </row>
    <row r="588" spans="18:18" ht="12.75" customHeight="1" x14ac:dyDescent="0.2">
      <c r="R588" s="453"/>
    </row>
    <row r="589" spans="18:18" ht="12.75" customHeight="1" x14ac:dyDescent="0.2">
      <c r="R589" s="453"/>
    </row>
    <row r="590" spans="18:18" ht="12.75" customHeight="1" x14ac:dyDescent="0.2">
      <c r="R590" s="453"/>
    </row>
    <row r="591" spans="18:18" ht="12.75" customHeight="1" x14ac:dyDescent="0.2">
      <c r="R591" s="453"/>
    </row>
    <row r="592" spans="18:18" ht="12.75" customHeight="1" x14ac:dyDescent="0.2">
      <c r="R592" s="453"/>
    </row>
    <row r="593" spans="18:18" ht="12.75" customHeight="1" x14ac:dyDescent="0.2">
      <c r="R593" s="453"/>
    </row>
    <row r="594" spans="18:18" ht="12.75" customHeight="1" x14ac:dyDescent="0.2">
      <c r="R594" s="453"/>
    </row>
    <row r="595" spans="18:18" ht="12.75" customHeight="1" x14ac:dyDescent="0.2">
      <c r="R595" s="453"/>
    </row>
    <row r="596" spans="18:18" ht="12.75" customHeight="1" x14ac:dyDescent="0.2">
      <c r="R596" s="453"/>
    </row>
    <row r="597" spans="18:18" ht="12.75" customHeight="1" x14ac:dyDescent="0.2">
      <c r="R597" s="453"/>
    </row>
    <row r="598" spans="18:18" ht="12.75" customHeight="1" x14ac:dyDescent="0.2">
      <c r="R598" s="453"/>
    </row>
    <row r="599" spans="18:18" ht="12.75" customHeight="1" x14ac:dyDescent="0.2">
      <c r="R599" s="453"/>
    </row>
    <row r="600" spans="18:18" ht="12.75" customHeight="1" x14ac:dyDescent="0.2">
      <c r="R600" s="453"/>
    </row>
    <row r="601" spans="18:18" ht="12.75" customHeight="1" x14ac:dyDescent="0.2">
      <c r="R601" s="453"/>
    </row>
    <row r="602" spans="18:18" ht="12.75" customHeight="1" x14ac:dyDescent="0.2">
      <c r="R602" s="453"/>
    </row>
    <row r="603" spans="18:18" ht="12.75" customHeight="1" x14ac:dyDescent="0.2">
      <c r="R603" s="453"/>
    </row>
    <row r="604" spans="18:18" ht="12.75" customHeight="1" x14ac:dyDescent="0.2">
      <c r="R604" s="453"/>
    </row>
    <row r="605" spans="18:18" ht="12.75" customHeight="1" x14ac:dyDescent="0.2">
      <c r="R605" s="453"/>
    </row>
    <row r="606" spans="18:18" ht="12.75" customHeight="1" x14ac:dyDescent="0.2">
      <c r="R606" s="453"/>
    </row>
    <row r="607" spans="18:18" ht="12.75" customHeight="1" x14ac:dyDescent="0.2">
      <c r="R607" s="453"/>
    </row>
    <row r="608" spans="18:18" ht="12.75" customHeight="1" x14ac:dyDescent="0.2">
      <c r="R608" s="453"/>
    </row>
    <row r="609" spans="18:18" ht="12.75" customHeight="1" x14ac:dyDescent="0.2">
      <c r="R609" s="453"/>
    </row>
    <row r="610" spans="18:18" ht="12.75" customHeight="1" x14ac:dyDescent="0.2">
      <c r="R610" s="453"/>
    </row>
    <row r="611" spans="18:18" ht="12.75" customHeight="1" x14ac:dyDescent="0.2">
      <c r="R611" s="453"/>
    </row>
    <row r="612" spans="18:18" ht="12.75" customHeight="1" x14ac:dyDescent="0.2">
      <c r="R612" s="453"/>
    </row>
    <row r="613" spans="18:18" ht="12.75" customHeight="1" x14ac:dyDescent="0.2">
      <c r="R613" s="453"/>
    </row>
    <row r="614" spans="18:18" ht="12.75" customHeight="1" x14ac:dyDescent="0.2">
      <c r="R614" s="453"/>
    </row>
    <row r="615" spans="18:18" ht="12.75" customHeight="1" x14ac:dyDescent="0.2">
      <c r="R615" s="453"/>
    </row>
    <row r="616" spans="18:18" ht="12.75" customHeight="1" x14ac:dyDescent="0.2">
      <c r="R616" s="453"/>
    </row>
    <row r="617" spans="18:18" ht="12.75" customHeight="1" x14ac:dyDescent="0.2">
      <c r="R617" s="453"/>
    </row>
    <row r="618" spans="18:18" ht="12.75" customHeight="1" x14ac:dyDescent="0.2">
      <c r="R618" s="453"/>
    </row>
    <row r="619" spans="18:18" ht="12.75" customHeight="1" x14ac:dyDescent="0.2">
      <c r="R619" s="453"/>
    </row>
    <row r="620" spans="18:18" ht="12.75" customHeight="1" x14ac:dyDescent="0.2">
      <c r="R620" s="453"/>
    </row>
    <row r="621" spans="18:18" ht="12.75" customHeight="1" x14ac:dyDescent="0.2">
      <c r="R621" s="453"/>
    </row>
    <row r="622" spans="18:18" ht="12.75" customHeight="1" x14ac:dyDescent="0.2">
      <c r="R622" s="453"/>
    </row>
    <row r="623" spans="18:18" ht="12.75" customHeight="1" x14ac:dyDescent="0.2">
      <c r="R623" s="453"/>
    </row>
    <row r="624" spans="18:18" ht="12.75" customHeight="1" x14ac:dyDescent="0.2">
      <c r="R624" s="453"/>
    </row>
    <row r="625" spans="18:18" ht="12.75" customHeight="1" x14ac:dyDescent="0.2">
      <c r="R625" s="453"/>
    </row>
    <row r="626" spans="18:18" ht="12.75" customHeight="1" x14ac:dyDescent="0.2">
      <c r="R626" s="453"/>
    </row>
    <row r="627" spans="18:18" ht="12.75" customHeight="1" x14ac:dyDescent="0.2">
      <c r="R627" s="453"/>
    </row>
    <row r="628" spans="18:18" ht="12.75" customHeight="1" x14ac:dyDescent="0.2">
      <c r="R628" s="453"/>
    </row>
    <row r="629" spans="18:18" ht="12.75" customHeight="1" x14ac:dyDescent="0.2">
      <c r="R629" s="453"/>
    </row>
    <row r="630" spans="18:18" ht="12.75" customHeight="1" x14ac:dyDescent="0.2">
      <c r="R630" s="453"/>
    </row>
    <row r="631" spans="18:18" ht="12.75" customHeight="1" x14ac:dyDescent="0.2">
      <c r="R631" s="453"/>
    </row>
    <row r="632" spans="18:18" ht="12.75" customHeight="1" x14ac:dyDescent="0.2">
      <c r="R632" s="453"/>
    </row>
    <row r="633" spans="18:18" ht="12.75" customHeight="1" x14ac:dyDescent="0.2">
      <c r="R633" s="453"/>
    </row>
    <row r="634" spans="18:18" ht="12.75" customHeight="1" x14ac:dyDescent="0.2">
      <c r="R634" s="453"/>
    </row>
    <row r="635" spans="18:18" ht="12.75" customHeight="1" x14ac:dyDescent="0.2">
      <c r="R635" s="453"/>
    </row>
    <row r="636" spans="18:18" ht="12.75" customHeight="1" x14ac:dyDescent="0.2">
      <c r="R636" s="453"/>
    </row>
    <row r="637" spans="18:18" ht="12.75" customHeight="1" x14ac:dyDescent="0.2">
      <c r="R637" s="453"/>
    </row>
    <row r="638" spans="18:18" ht="12.75" customHeight="1" x14ac:dyDescent="0.2">
      <c r="R638" s="453"/>
    </row>
    <row r="639" spans="18:18" ht="12.75" customHeight="1" x14ac:dyDescent="0.2">
      <c r="R639" s="453"/>
    </row>
    <row r="640" spans="18:18" ht="12.75" customHeight="1" x14ac:dyDescent="0.2">
      <c r="R640" s="453"/>
    </row>
    <row r="641" spans="18:18" ht="12.75" customHeight="1" x14ac:dyDescent="0.2">
      <c r="R641" s="453"/>
    </row>
    <row r="642" spans="18:18" ht="12.75" customHeight="1" x14ac:dyDescent="0.2">
      <c r="R642" s="453"/>
    </row>
    <row r="643" spans="18:18" ht="12.75" customHeight="1" x14ac:dyDescent="0.2">
      <c r="R643" s="453"/>
    </row>
    <row r="644" spans="18:18" ht="12.75" customHeight="1" x14ac:dyDescent="0.2">
      <c r="R644" s="453"/>
    </row>
    <row r="645" spans="18:18" ht="12.75" customHeight="1" x14ac:dyDescent="0.2">
      <c r="R645" s="453"/>
    </row>
    <row r="646" spans="18:18" ht="12.75" customHeight="1" x14ac:dyDescent="0.2">
      <c r="R646" s="453"/>
    </row>
    <row r="647" spans="18:18" ht="12.75" customHeight="1" x14ac:dyDescent="0.2">
      <c r="R647" s="453"/>
    </row>
    <row r="648" spans="18:18" ht="12.75" customHeight="1" x14ac:dyDescent="0.2">
      <c r="R648" s="453"/>
    </row>
    <row r="649" spans="18:18" ht="12.75" customHeight="1" x14ac:dyDescent="0.2">
      <c r="R649" s="453"/>
    </row>
    <row r="650" spans="18:18" ht="12.75" customHeight="1" x14ac:dyDescent="0.2">
      <c r="R650" s="453"/>
    </row>
    <row r="651" spans="18:18" ht="12.75" customHeight="1" x14ac:dyDescent="0.2">
      <c r="R651" s="453"/>
    </row>
    <row r="652" spans="18:18" ht="12.75" customHeight="1" x14ac:dyDescent="0.2">
      <c r="R652" s="453"/>
    </row>
    <row r="653" spans="18:18" ht="12.75" customHeight="1" x14ac:dyDescent="0.2">
      <c r="R653" s="453"/>
    </row>
    <row r="654" spans="18:18" ht="12.75" customHeight="1" x14ac:dyDescent="0.2">
      <c r="R654" s="453"/>
    </row>
    <row r="655" spans="18:18" ht="12.75" customHeight="1" x14ac:dyDescent="0.2">
      <c r="R655" s="453"/>
    </row>
    <row r="656" spans="18:18" ht="12.75" customHeight="1" x14ac:dyDescent="0.2">
      <c r="R656" s="453"/>
    </row>
    <row r="657" spans="18:18" ht="12.75" customHeight="1" x14ac:dyDescent="0.2">
      <c r="R657" s="453"/>
    </row>
    <row r="658" spans="18:18" ht="12.75" customHeight="1" x14ac:dyDescent="0.2">
      <c r="R658" s="453"/>
    </row>
    <row r="659" spans="18:18" ht="12.75" customHeight="1" x14ac:dyDescent="0.2">
      <c r="R659" s="453"/>
    </row>
    <row r="660" spans="18:18" ht="12.75" customHeight="1" x14ac:dyDescent="0.2">
      <c r="R660" s="453"/>
    </row>
    <row r="661" spans="18:18" ht="12.75" customHeight="1" x14ac:dyDescent="0.2">
      <c r="R661" s="453"/>
    </row>
    <row r="662" spans="18:18" ht="12.75" customHeight="1" x14ac:dyDescent="0.2">
      <c r="R662" s="453"/>
    </row>
    <row r="663" spans="18:18" ht="12.75" customHeight="1" x14ac:dyDescent="0.2">
      <c r="R663" s="453"/>
    </row>
    <row r="664" spans="18:18" ht="12.75" customHeight="1" x14ac:dyDescent="0.2">
      <c r="R664" s="453"/>
    </row>
    <row r="665" spans="18:18" ht="12.75" customHeight="1" x14ac:dyDescent="0.2">
      <c r="R665" s="453"/>
    </row>
    <row r="666" spans="18:18" ht="12.75" customHeight="1" x14ac:dyDescent="0.2">
      <c r="R666" s="453"/>
    </row>
    <row r="667" spans="18:18" ht="12.75" customHeight="1" x14ac:dyDescent="0.2">
      <c r="R667" s="453"/>
    </row>
    <row r="668" spans="18:18" ht="12.75" customHeight="1" x14ac:dyDescent="0.2">
      <c r="R668" s="453"/>
    </row>
    <row r="669" spans="18:18" ht="12.75" customHeight="1" x14ac:dyDescent="0.2">
      <c r="R669" s="453"/>
    </row>
    <row r="670" spans="18:18" ht="12.75" customHeight="1" x14ac:dyDescent="0.2">
      <c r="R670" s="453"/>
    </row>
    <row r="671" spans="18:18" ht="12.75" customHeight="1" x14ac:dyDescent="0.2">
      <c r="R671" s="453"/>
    </row>
    <row r="672" spans="18:18" ht="12.75" customHeight="1" x14ac:dyDescent="0.2">
      <c r="R672" s="453"/>
    </row>
    <row r="673" spans="18:18" ht="12.75" customHeight="1" x14ac:dyDescent="0.2">
      <c r="R673" s="453"/>
    </row>
    <row r="674" spans="18:18" ht="12.75" customHeight="1" x14ac:dyDescent="0.2">
      <c r="R674" s="453"/>
    </row>
    <row r="675" spans="18:18" ht="12.75" customHeight="1" x14ac:dyDescent="0.2">
      <c r="R675" s="453"/>
    </row>
    <row r="676" spans="18:18" ht="12.75" customHeight="1" x14ac:dyDescent="0.2">
      <c r="R676" s="453"/>
    </row>
    <row r="677" spans="18:18" ht="12.75" customHeight="1" x14ac:dyDescent="0.2">
      <c r="R677" s="453"/>
    </row>
    <row r="678" spans="18:18" ht="12.75" customHeight="1" x14ac:dyDescent="0.2">
      <c r="R678" s="453"/>
    </row>
    <row r="679" spans="18:18" ht="12.75" customHeight="1" x14ac:dyDescent="0.2">
      <c r="R679" s="453"/>
    </row>
    <row r="680" spans="18:18" ht="12.75" customHeight="1" x14ac:dyDescent="0.2">
      <c r="R680" s="453"/>
    </row>
    <row r="681" spans="18:18" ht="12.75" customHeight="1" x14ac:dyDescent="0.2">
      <c r="R681" s="453"/>
    </row>
    <row r="682" spans="18:18" ht="12.75" customHeight="1" x14ac:dyDescent="0.2">
      <c r="R682" s="453"/>
    </row>
    <row r="683" spans="18:18" ht="12.75" customHeight="1" x14ac:dyDescent="0.2">
      <c r="R683" s="453"/>
    </row>
    <row r="684" spans="18:18" ht="12.75" customHeight="1" x14ac:dyDescent="0.2">
      <c r="R684" s="453"/>
    </row>
    <row r="685" spans="18:18" ht="12.75" customHeight="1" x14ac:dyDescent="0.2">
      <c r="R685" s="453"/>
    </row>
    <row r="686" spans="18:18" ht="12.75" customHeight="1" x14ac:dyDescent="0.2">
      <c r="R686" s="453"/>
    </row>
    <row r="687" spans="18:18" ht="12.75" customHeight="1" x14ac:dyDescent="0.2">
      <c r="R687" s="453"/>
    </row>
    <row r="688" spans="18:18" ht="12.75" customHeight="1" x14ac:dyDescent="0.2">
      <c r="R688" s="453"/>
    </row>
    <row r="689" spans="18:18" ht="12.75" customHeight="1" x14ac:dyDescent="0.2">
      <c r="R689" s="453"/>
    </row>
    <row r="690" spans="18:18" ht="12.75" customHeight="1" x14ac:dyDescent="0.2">
      <c r="R690" s="453"/>
    </row>
    <row r="691" spans="18:18" ht="12.75" customHeight="1" x14ac:dyDescent="0.2">
      <c r="R691" s="453"/>
    </row>
    <row r="692" spans="18:18" ht="12.75" customHeight="1" x14ac:dyDescent="0.2">
      <c r="R692" s="453"/>
    </row>
    <row r="693" spans="18:18" ht="12.75" customHeight="1" x14ac:dyDescent="0.2">
      <c r="R693" s="453"/>
    </row>
    <row r="694" spans="18:18" ht="12.75" customHeight="1" x14ac:dyDescent="0.2">
      <c r="R694" s="453"/>
    </row>
    <row r="695" spans="18:18" ht="12.75" customHeight="1" x14ac:dyDescent="0.2">
      <c r="R695" s="453"/>
    </row>
    <row r="696" spans="18:18" ht="12.75" customHeight="1" x14ac:dyDescent="0.2">
      <c r="R696" s="453"/>
    </row>
    <row r="697" spans="18:18" ht="12.75" customHeight="1" x14ac:dyDescent="0.2">
      <c r="R697" s="453"/>
    </row>
    <row r="698" spans="18:18" ht="12.75" customHeight="1" x14ac:dyDescent="0.2">
      <c r="R698" s="453"/>
    </row>
    <row r="699" spans="18:18" ht="12.75" customHeight="1" x14ac:dyDescent="0.2">
      <c r="R699" s="453"/>
    </row>
    <row r="700" spans="18:18" ht="12.75" customHeight="1" x14ac:dyDescent="0.2">
      <c r="R700" s="453"/>
    </row>
    <row r="701" spans="18:18" ht="12.75" customHeight="1" x14ac:dyDescent="0.2">
      <c r="R701" s="453"/>
    </row>
    <row r="702" spans="18:18" ht="12.75" customHeight="1" x14ac:dyDescent="0.2">
      <c r="R702" s="453"/>
    </row>
    <row r="703" spans="18:18" ht="12.75" customHeight="1" x14ac:dyDescent="0.2">
      <c r="R703" s="453"/>
    </row>
    <row r="704" spans="18:18" ht="12.75" customHeight="1" x14ac:dyDescent="0.2">
      <c r="R704" s="453"/>
    </row>
    <row r="705" spans="18:18" ht="12.75" customHeight="1" x14ac:dyDescent="0.2">
      <c r="R705" s="453"/>
    </row>
    <row r="706" spans="18:18" ht="12.75" customHeight="1" x14ac:dyDescent="0.2">
      <c r="R706" s="453"/>
    </row>
    <row r="707" spans="18:18" ht="12.75" customHeight="1" x14ac:dyDescent="0.2">
      <c r="R707" s="453"/>
    </row>
    <row r="708" spans="18:18" ht="12.75" customHeight="1" x14ac:dyDescent="0.2">
      <c r="R708" s="453"/>
    </row>
    <row r="709" spans="18:18" ht="12.75" customHeight="1" x14ac:dyDescent="0.2">
      <c r="R709" s="453"/>
    </row>
    <row r="710" spans="18:18" ht="12.75" customHeight="1" x14ac:dyDescent="0.2">
      <c r="R710" s="453"/>
    </row>
    <row r="711" spans="18:18" ht="12.75" customHeight="1" x14ac:dyDescent="0.2">
      <c r="R711" s="453"/>
    </row>
    <row r="712" spans="18:18" ht="12.75" customHeight="1" x14ac:dyDescent="0.2">
      <c r="R712" s="453"/>
    </row>
    <row r="713" spans="18:18" ht="12.75" customHeight="1" x14ac:dyDescent="0.2">
      <c r="R713" s="453"/>
    </row>
    <row r="714" spans="18:18" ht="12.75" customHeight="1" x14ac:dyDescent="0.2">
      <c r="R714" s="453"/>
    </row>
    <row r="715" spans="18:18" ht="12.75" customHeight="1" x14ac:dyDescent="0.2">
      <c r="R715" s="453"/>
    </row>
    <row r="716" spans="18:18" ht="12.75" customHeight="1" x14ac:dyDescent="0.2">
      <c r="R716" s="453"/>
    </row>
    <row r="717" spans="18:18" ht="12.75" customHeight="1" x14ac:dyDescent="0.2">
      <c r="R717" s="453"/>
    </row>
    <row r="718" spans="18:18" ht="12.75" customHeight="1" x14ac:dyDescent="0.2">
      <c r="R718" s="453"/>
    </row>
    <row r="719" spans="18:18" ht="12.75" customHeight="1" x14ac:dyDescent="0.2">
      <c r="R719" s="453"/>
    </row>
    <row r="720" spans="18:18" ht="12.75" customHeight="1" x14ac:dyDescent="0.2">
      <c r="R720" s="453"/>
    </row>
    <row r="721" spans="18:18" ht="12.75" customHeight="1" x14ac:dyDescent="0.2">
      <c r="R721" s="453"/>
    </row>
    <row r="722" spans="18:18" ht="12.75" customHeight="1" x14ac:dyDescent="0.2">
      <c r="R722" s="453"/>
    </row>
    <row r="723" spans="18:18" ht="12.75" customHeight="1" x14ac:dyDescent="0.2">
      <c r="R723" s="453"/>
    </row>
    <row r="724" spans="18:18" ht="12.75" customHeight="1" x14ac:dyDescent="0.2">
      <c r="R724" s="453"/>
    </row>
    <row r="725" spans="18:18" ht="12.75" customHeight="1" x14ac:dyDescent="0.2">
      <c r="R725" s="453"/>
    </row>
    <row r="726" spans="18:18" ht="12.75" customHeight="1" x14ac:dyDescent="0.2">
      <c r="R726" s="453"/>
    </row>
    <row r="727" spans="18:18" ht="12.75" customHeight="1" x14ac:dyDescent="0.2">
      <c r="R727" s="453"/>
    </row>
    <row r="728" spans="18:18" ht="12.75" customHeight="1" x14ac:dyDescent="0.2">
      <c r="R728" s="453"/>
    </row>
    <row r="729" spans="18:18" ht="12.75" customHeight="1" x14ac:dyDescent="0.2">
      <c r="R729" s="453"/>
    </row>
    <row r="730" spans="18:18" ht="12.75" customHeight="1" x14ac:dyDescent="0.2">
      <c r="R730" s="453"/>
    </row>
    <row r="731" spans="18:18" ht="12.75" customHeight="1" x14ac:dyDescent="0.2">
      <c r="R731" s="453"/>
    </row>
    <row r="732" spans="18:18" ht="12.75" customHeight="1" x14ac:dyDescent="0.2">
      <c r="R732" s="453"/>
    </row>
    <row r="733" spans="18:18" ht="12.75" customHeight="1" x14ac:dyDescent="0.2">
      <c r="R733" s="453"/>
    </row>
    <row r="734" spans="18:18" ht="12.75" customHeight="1" x14ac:dyDescent="0.2">
      <c r="R734" s="453"/>
    </row>
    <row r="735" spans="18:18" ht="12.75" customHeight="1" x14ac:dyDescent="0.2">
      <c r="R735" s="453"/>
    </row>
    <row r="736" spans="18:18" ht="12.75" customHeight="1" x14ac:dyDescent="0.2">
      <c r="R736" s="453"/>
    </row>
    <row r="737" spans="18:18" ht="12.75" customHeight="1" x14ac:dyDescent="0.2">
      <c r="R737" s="453"/>
    </row>
    <row r="738" spans="18:18" ht="12.75" customHeight="1" x14ac:dyDescent="0.2">
      <c r="R738" s="453"/>
    </row>
    <row r="739" spans="18:18" ht="12.75" customHeight="1" x14ac:dyDescent="0.2">
      <c r="R739" s="453"/>
    </row>
    <row r="740" spans="18:18" ht="12.75" customHeight="1" x14ac:dyDescent="0.2">
      <c r="R740" s="453"/>
    </row>
    <row r="741" spans="18:18" ht="12.75" customHeight="1" x14ac:dyDescent="0.2">
      <c r="R741" s="453"/>
    </row>
    <row r="742" spans="18:18" ht="12.75" customHeight="1" x14ac:dyDescent="0.2">
      <c r="R742" s="453"/>
    </row>
    <row r="743" spans="18:18" ht="12.75" customHeight="1" x14ac:dyDescent="0.2">
      <c r="R743" s="453"/>
    </row>
    <row r="744" spans="18:18" ht="12.75" customHeight="1" x14ac:dyDescent="0.2">
      <c r="R744" s="453"/>
    </row>
    <row r="745" spans="18:18" ht="12.75" customHeight="1" x14ac:dyDescent="0.2">
      <c r="R745" s="453"/>
    </row>
    <row r="746" spans="18:18" ht="12.75" customHeight="1" x14ac:dyDescent="0.2">
      <c r="R746" s="453"/>
    </row>
    <row r="747" spans="18:18" ht="12.75" customHeight="1" x14ac:dyDescent="0.2">
      <c r="R747" s="453"/>
    </row>
    <row r="748" spans="18:18" ht="12.75" customHeight="1" x14ac:dyDescent="0.2">
      <c r="R748" s="453"/>
    </row>
    <row r="749" spans="18:18" ht="12.75" customHeight="1" x14ac:dyDescent="0.2">
      <c r="R749" s="453"/>
    </row>
    <row r="750" spans="18:18" ht="12.75" customHeight="1" x14ac:dyDescent="0.2">
      <c r="R750" s="453"/>
    </row>
    <row r="751" spans="18:18" ht="12.75" customHeight="1" x14ac:dyDescent="0.2">
      <c r="R751" s="453"/>
    </row>
    <row r="752" spans="18:18" ht="12.75" customHeight="1" x14ac:dyDescent="0.2">
      <c r="R752" s="453"/>
    </row>
    <row r="753" spans="18:18" ht="12.75" customHeight="1" x14ac:dyDescent="0.2">
      <c r="R753" s="453"/>
    </row>
    <row r="754" spans="18:18" ht="12.75" customHeight="1" x14ac:dyDescent="0.2">
      <c r="R754" s="453"/>
    </row>
    <row r="755" spans="18:18" ht="12.75" customHeight="1" x14ac:dyDescent="0.2">
      <c r="R755" s="453"/>
    </row>
    <row r="756" spans="18:18" ht="12.75" customHeight="1" x14ac:dyDescent="0.2">
      <c r="R756" s="453"/>
    </row>
    <row r="757" spans="18:18" ht="12.75" customHeight="1" x14ac:dyDescent="0.2">
      <c r="R757" s="453"/>
    </row>
    <row r="758" spans="18:18" ht="12.75" customHeight="1" x14ac:dyDescent="0.2">
      <c r="R758" s="453"/>
    </row>
    <row r="759" spans="18:18" ht="12.75" customHeight="1" x14ac:dyDescent="0.2">
      <c r="R759" s="453"/>
    </row>
    <row r="760" spans="18:18" ht="12.75" customHeight="1" x14ac:dyDescent="0.2">
      <c r="R760" s="453"/>
    </row>
    <row r="761" spans="18:18" ht="12.75" customHeight="1" x14ac:dyDescent="0.2">
      <c r="R761" s="453"/>
    </row>
    <row r="762" spans="18:18" ht="12.75" customHeight="1" x14ac:dyDescent="0.2">
      <c r="R762" s="453"/>
    </row>
    <row r="763" spans="18:18" ht="12.75" customHeight="1" x14ac:dyDescent="0.2">
      <c r="R763" s="453"/>
    </row>
    <row r="764" spans="18:18" ht="12.75" customHeight="1" x14ac:dyDescent="0.2">
      <c r="R764" s="453"/>
    </row>
    <row r="765" spans="18:18" ht="12.75" customHeight="1" x14ac:dyDescent="0.2">
      <c r="R765" s="453"/>
    </row>
    <row r="766" spans="18:18" ht="12.75" customHeight="1" x14ac:dyDescent="0.2">
      <c r="R766" s="453"/>
    </row>
    <row r="767" spans="18:18" ht="12.75" customHeight="1" x14ac:dyDescent="0.2">
      <c r="R767" s="453"/>
    </row>
    <row r="768" spans="18:18" ht="12.75" customHeight="1" x14ac:dyDescent="0.2">
      <c r="R768" s="453"/>
    </row>
    <row r="769" spans="18:18" ht="12.75" customHeight="1" x14ac:dyDescent="0.2">
      <c r="R769" s="453"/>
    </row>
    <row r="770" spans="18:18" ht="12.75" customHeight="1" x14ac:dyDescent="0.2">
      <c r="R770" s="453"/>
    </row>
    <row r="771" spans="18:18" ht="12.75" customHeight="1" x14ac:dyDescent="0.2">
      <c r="R771" s="453"/>
    </row>
    <row r="772" spans="18:18" ht="12.75" customHeight="1" x14ac:dyDescent="0.2">
      <c r="R772" s="453"/>
    </row>
    <row r="773" spans="18:18" ht="12.75" customHeight="1" x14ac:dyDescent="0.2">
      <c r="R773" s="453"/>
    </row>
    <row r="774" spans="18:18" ht="12.75" customHeight="1" x14ac:dyDescent="0.2">
      <c r="R774" s="453"/>
    </row>
    <row r="775" spans="18:18" ht="12.75" customHeight="1" x14ac:dyDescent="0.2">
      <c r="R775" s="453"/>
    </row>
    <row r="776" spans="18:18" ht="12.75" customHeight="1" x14ac:dyDescent="0.2">
      <c r="R776" s="453"/>
    </row>
    <row r="777" spans="18:18" ht="12.75" customHeight="1" x14ac:dyDescent="0.2">
      <c r="R777" s="453"/>
    </row>
    <row r="778" spans="18:18" ht="12.75" customHeight="1" x14ac:dyDescent="0.2">
      <c r="R778" s="453"/>
    </row>
    <row r="779" spans="18:18" ht="12.75" customHeight="1" x14ac:dyDescent="0.2">
      <c r="R779" s="453"/>
    </row>
    <row r="780" spans="18:18" ht="12.75" customHeight="1" x14ac:dyDescent="0.2">
      <c r="R780" s="453"/>
    </row>
    <row r="781" spans="18:18" ht="12.75" customHeight="1" x14ac:dyDescent="0.2">
      <c r="R781" s="453"/>
    </row>
    <row r="782" spans="18:18" ht="12.75" customHeight="1" x14ac:dyDescent="0.2">
      <c r="R782" s="453"/>
    </row>
    <row r="783" spans="18:18" ht="12.75" customHeight="1" x14ac:dyDescent="0.2">
      <c r="R783" s="453"/>
    </row>
    <row r="784" spans="18:18" ht="12.75" customHeight="1" x14ac:dyDescent="0.2">
      <c r="R784" s="453"/>
    </row>
    <row r="785" spans="18:18" ht="12.75" customHeight="1" x14ac:dyDescent="0.2">
      <c r="R785" s="453"/>
    </row>
    <row r="786" spans="18:18" ht="12.75" customHeight="1" x14ac:dyDescent="0.2">
      <c r="R786" s="453"/>
    </row>
    <row r="787" spans="18:18" ht="12.75" customHeight="1" x14ac:dyDescent="0.2">
      <c r="R787" s="453"/>
    </row>
    <row r="788" spans="18:18" ht="12.75" customHeight="1" x14ac:dyDescent="0.2">
      <c r="R788" s="453"/>
    </row>
    <row r="789" spans="18:18" ht="12.75" customHeight="1" x14ac:dyDescent="0.2">
      <c r="R789" s="453"/>
    </row>
    <row r="790" spans="18:18" ht="12.75" customHeight="1" x14ac:dyDescent="0.2">
      <c r="R790" s="453"/>
    </row>
    <row r="791" spans="18:18" ht="12.75" customHeight="1" x14ac:dyDescent="0.2">
      <c r="R791" s="453"/>
    </row>
    <row r="792" spans="18:18" ht="12.75" customHeight="1" x14ac:dyDescent="0.2">
      <c r="R792" s="453"/>
    </row>
    <row r="793" spans="18:18" ht="12.75" customHeight="1" x14ac:dyDescent="0.2">
      <c r="R793" s="453"/>
    </row>
    <row r="794" spans="18:18" ht="12.75" customHeight="1" x14ac:dyDescent="0.2">
      <c r="R794" s="453"/>
    </row>
    <row r="795" spans="18:18" ht="12.75" customHeight="1" x14ac:dyDescent="0.2">
      <c r="R795" s="453"/>
    </row>
    <row r="796" spans="18:18" ht="12.75" customHeight="1" x14ac:dyDescent="0.2">
      <c r="R796" s="453"/>
    </row>
    <row r="797" spans="18:18" ht="12.75" customHeight="1" x14ac:dyDescent="0.2">
      <c r="R797" s="453"/>
    </row>
    <row r="798" spans="18:18" ht="12.75" customHeight="1" x14ac:dyDescent="0.2">
      <c r="R798" s="453"/>
    </row>
    <row r="799" spans="18:18" ht="12.75" customHeight="1" x14ac:dyDescent="0.2">
      <c r="R799" s="453"/>
    </row>
    <row r="800" spans="18:18" ht="12.75" customHeight="1" x14ac:dyDescent="0.2">
      <c r="R800" s="453"/>
    </row>
    <row r="801" spans="18:18" ht="12.75" customHeight="1" x14ac:dyDescent="0.2">
      <c r="R801" s="453"/>
    </row>
    <row r="802" spans="18:18" ht="12.75" customHeight="1" x14ac:dyDescent="0.2">
      <c r="R802" s="453"/>
    </row>
    <row r="803" spans="18:18" ht="12.75" customHeight="1" x14ac:dyDescent="0.2">
      <c r="R803" s="453"/>
    </row>
    <row r="804" spans="18:18" ht="12.75" customHeight="1" x14ac:dyDescent="0.2">
      <c r="R804" s="453"/>
    </row>
    <row r="805" spans="18:18" ht="12.75" customHeight="1" x14ac:dyDescent="0.2">
      <c r="R805" s="453"/>
    </row>
    <row r="806" spans="18:18" ht="12.75" customHeight="1" x14ac:dyDescent="0.2">
      <c r="R806" s="453"/>
    </row>
    <row r="807" spans="18:18" ht="12.75" customHeight="1" x14ac:dyDescent="0.2">
      <c r="R807" s="453"/>
    </row>
    <row r="808" spans="18:18" ht="12.75" customHeight="1" x14ac:dyDescent="0.2">
      <c r="R808" s="453"/>
    </row>
    <row r="809" spans="18:18" ht="12.75" customHeight="1" x14ac:dyDescent="0.2">
      <c r="R809" s="453"/>
    </row>
    <row r="810" spans="18:18" ht="12.75" customHeight="1" x14ac:dyDescent="0.2">
      <c r="R810" s="453"/>
    </row>
    <row r="811" spans="18:18" ht="12.75" customHeight="1" x14ac:dyDescent="0.2">
      <c r="R811" s="453"/>
    </row>
    <row r="812" spans="18:18" ht="12.75" customHeight="1" x14ac:dyDescent="0.2">
      <c r="R812" s="453"/>
    </row>
    <row r="813" spans="18:18" ht="12.75" customHeight="1" x14ac:dyDescent="0.2">
      <c r="R813" s="453"/>
    </row>
    <row r="814" spans="18:18" ht="12.75" customHeight="1" x14ac:dyDescent="0.2">
      <c r="R814" s="453"/>
    </row>
    <row r="815" spans="18:18" ht="12.75" customHeight="1" x14ac:dyDescent="0.2">
      <c r="R815" s="453"/>
    </row>
    <row r="816" spans="18:18" ht="12.75" customHeight="1" x14ac:dyDescent="0.2">
      <c r="R816" s="453"/>
    </row>
    <row r="817" spans="18:18" ht="12.75" customHeight="1" x14ac:dyDescent="0.2">
      <c r="R817" s="453"/>
    </row>
    <row r="818" spans="18:18" ht="12.75" customHeight="1" x14ac:dyDescent="0.2">
      <c r="R818" s="453"/>
    </row>
    <row r="819" spans="18:18" ht="12.75" customHeight="1" x14ac:dyDescent="0.2">
      <c r="R819" s="453"/>
    </row>
    <row r="820" spans="18:18" ht="12.75" customHeight="1" x14ac:dyDescent="0.2">
      <c r="R820" s="453"/>
    </row>
    <row r="821" spans="18:18" ht="12.75" customHeight="1" x14ac:dyDescent="0.2">
      <c r="R821" s="453"/>
    </row>
    <row r="822" spans="18:18" ht="12.75" customHeight="1" x14ac:dyDescent="0.2">
      <c r="R822" s="453"/>
    </row>
    <row r="823" spans="18:18" ht="12.75" customHeight="1" x14ac:dyDescent="0.2">
      <c r="R823" s="453"/>
    </row>
    <row r="824" spans="18:18" ht="12.75" customHeight="1" x14ac:dyDescent="0.2">
      <c r="R824" s="453"/>
    </row>
    <row r="825" spans="18:18" ht="12.75" customHeight="1" x14ac:dyDescent="0.2">
      <c r="R825" s="453"/>
    </row>
    <row r="826" spans="18:18" ht="12.75" customHeight="1" x14ac:dyDescent="0.2">
      <c r="R826" s="453"/>
    </row>
    <row r="827" spans="18:18" ht="12.75" customHeight="1" x14ac:dyDescent="0.2">
      <c r="R827" s="453"/>
    </row>
    <row r="828" spans="18:18" ht="12.75" customHeight="1" x14ac:dyDescent="0.2">
      <c r="R828" s="453"/>
    </row>
    <row r="829" spans="18:18" ht="12.75" customHeight="1" x14ac:dyDescent="0.2">
      <c r="R829" s="453"/>
    </row>
    <row r="830" spans="18:18" ht="12.75" customHeight="1" x14ac:dyDescent="0.2">
      <c r="R830" s="453"/>
    </row>
    <row r="831" spans="18:18" ht="12.75" customHeight="1" x14ac:dyDescent="0.2">
      <c r="R831" s="453"/>
    </row>
    <row r="832" spans="18:18" ht="12.75" customHeight="1" x14ac:dyDescent="0.2">
      <c r="R832" s="453"/>
    </row>
    <row r="833" spans="18:18" ht="12.75" customHeight="1" x14ac:dyDescent="0.2">
      <c r="R833" s="453"/>
    </row>
    <row r="834" spans="18:18" ht="12.75" customHeight="1" x14ac:dyDescent="0.2">
      <c r="R834" s="453"/>
    </row>
    <row r="835" spans="18:18" ht="12.75" customHeight="1" x14ac:dyDescent="0.2">
      <c r="R835" s="453"/>
    </row>
    <row r="836" spans="18:18" ht="12.75" customHeight="1" x14ac:dyDescent="0.2">
      <c r="R836" s="453"/>
    </row>
    <row r="837" spans="18:18" ht="12.75" customHeight="1" x14ac:dyDescent="0.2">
      <c r="R837" s="453"/>
    </row>
    <row r="838" spans="18:18" ht="12.75" customHeight="1" x14ac:dyDescent="0.2">
      <c r="R838" s="453"/>
    </row>
    <row r="839" spans="18:18" ht="12.75" customHeight="1" x14ac:dyDescent="0.2">
      <c r="R839" s="453"/>
    </row>
    <row r="840" spans="18:18" ht="12.75" customHeight="1" x14ac:dyDescent="0.2">
      <c r="R840" s="453"/>
    </row>
    <row r="841" spans="18:18" ht="12.75" customHeight="1" x14ac:dyDescent="0.2">
      <c r="R841" s="453"/>
    </row>
    <row r="842" spans="18:18" ht="12.75" customHeight="1" x14ac:dyDescent="0.2">
      <c r="R842" s="453"/>
    </row>
    <row r="843" spans="18:18" ht="12.75" customHeight="1" x14ac:dyDescent="0.2">
      <c r="R843" s="453"/>
    </row>
    <row r="844" spans="18:18" ht="12.75" customHeight="1" x14ac:dyDescent="0.2">
      <c r="R844" s="453"/>
    </row>
    <row r="845" spans="18:18" ht="12.75" customHeight="1" x14ac:dyDescent="0.2">
      <c r="R845" s="453"/>
    </row>
    <row r="846" spans="18:18" ht="12.75" customHeight="1" x14ac:dyDescent="0.2">
      <c r="R846" s="453"/>
    </row>
    <row r="847" spans="18:18" ht="12.75" customHeight="1" x14ac:dyDescent="0.2">
      <c r="R847" s="453"/>
    </row>
    <row r="848" spans="18:18" ht="12.75" customHeight="1" x14ac:dyDescent="0.2">
      <c r="R848" s="453"/>
    </row>
    <row r="849" spans="18:18" ht="12.75" customHeight="1" x14ac:dyDescent="0.2">
      <c r="R849" s="453"/>
    </row>
    <row r="850" spans="18:18" ht="12.75" customHeight="1" x14ac:dyDescent="0.2">
      <c r="R850" s="453"/>
    </row>
    <row r="851" spans="18:18" ht="12.75" customHeight="1" x14ac:dyDescent="0.2">
      <c r="R851" s="453"/>
    </row>
    <row r="852" spans="18:18" ht="12.75" customHeight="1" x14ac:dyDescent="0.2">
      <c r="R852" s="453"/>
    </row>
    <row r="853" spans="18:18" ht="12.75" customHeight="1" x14ac:dyDescent="0.2">
      <c r="R853" s="453"/>
    </row>
    <row r="854" spans="18:18" ht="12.75" customHeight="1" x14ac:dyDescent="0.2">
      <c r="R854" s="453"/>
    </row>
    <row r="855" spans="18:18" ht="12.75" customHeight="1" x14ac:dyDescent="0.2">
      <c r="R855" s="453"/>
    </row>
    <row r="856" spans="18:18" ht="12.75" customHeight="1" x14ac:dyDescent="0.2">
      <c r="R856" s="453"/>
    </row>
    <row r="857" spans="18:18" ht="12.75" customHeight="1" x14ac:dyDescent="0.2">
      <c r="R857" s="453"/>
    </row>
    <row r="858" spans="18:18" ht="12.75" customHeight="1" x14ac:dyDescent="0.2">
      <c r="R858" s="453"/>
    </row>
    <row r="859" spans="18:18" ht="12.75" customHeight="1" x14ac:dyDescent="0.2">
      <c r="R859" s="453"/>
    </row>
    <row r="860" spans="18:18" ht="12.75" customHeight="1" x14ac:dyDescent="0.2">
      <c r="R860" s="453"/>
    </row>
    <row r="861" spans="18:18" ht="12.75" customHeight="1" x14ac:dyDescent="0.2">
      <c r="R861" s="453"/>
    </row>
    <row r="862" spans="18:18" ht="12.75" customHeight="1" x14ac:dyDescent="0.2">
      <c r="R862" s="453"/>
    </row>
    <row r="863" spans="18:18" ht="12.75" customHeight="1" x14ac:dyDescent="0.2">
      <c r="R863" s="453"/>
    </row>
    <row r="864" spans="18:18" ht="12.75" customHeight="1" x14ac:dyDescent="0.2">
      <c r="R864" s="453"/>
    </row>
    <row r="865" spans="18:18" ht="12.75" customHeight="1" x14ac:dyDescent="0.2">
      <c r="R865" s="453"/>
    </row>
    <row r="866" spans="18:18" ht="12.75" customHeight="1" x14ac:dyDescent="0.2">
      <c r="R866" s="453"/>
    </row>
    <row r="867" spans="18:18" ht="12.75" customHeight="1" x14ac:dyDescent="0.2">
      <c r="R867" s="453"/>
    </row>
    <row r="868" spans="18:18" ht="12.75" customHeight="1" x14ac:dyDescent="0.2">
      <c r="R868" s="453"/>
    </row>
    <row r="869" spans="18:18" ht="12.75" customHeight="1" x14ac:dyDescent="0.2">
      <c r="R869" s="453"/>
    </row>
    <row r="870" spans="18:18" ht="12.75" customHeight="1" x14ac:dyDescent="0.2">
      <c r="R870" s="453"/>
    </row>
    <row r="871" spans="18:18" ht="12.75" customHeight="1" x14ac:dyDescent="0.2">
      <c r="R871" s="453"/>
    </row>
    <row r="872" spans="18:18" ht="12.75" customHeight="1" x14ac:dyDescent="0.2">
      <c r="R872" s="453"/>
    </row>
    <row r="873" spans="18:18" ht="12.75" customHeight="1" x14ac:dyDescent="0.2">
      <c r="R873" s="453"/>
    </row>
    <row r="874" spans="18:18" ht="12.75" customHeight="1" x14ac:dyDescent="0.2">
      <c r="R874" s="453"/>
    </row>
    <row r="875" spans="18:18" ht="12.75" customHeight="1" x14ac:dyDescent="0.2">
      <c r="R875" s="453"/>
    </row>
    <row r="876" spans="18:18" ht="12.75" customHeight="1" x14ac:dyDescent="0.2">
      <c r="R876" s="453"/>
    </row>
    <row r="877" spans="18:18" ht="12.75" customHeight="1" x14ac:dyDescent="0.2">
      <c r="R877" s="453"/>
    </row>
    <row r="878" spans="18:18" ht="12.75" customHeight="1" x14ac:dyDescent="0.2">
      <c r="R878" s="453"/>
    </row>
    <row r="879" spans="18:18" ht="12.75" customHeight="1" x14ac:dyDescent="0.2">
      <c r="R879" s="453"/>
    </row>
    <row r="880" spans="18:18" ht="12.75" customHeight="1" x14ac:dyDescent="0.2">
      <c r="R880" s="453"/>
    </row>
    <row r="881" spans="18:18" ht="12.75" customHeight="1" x14ac:dyDescent="0.2">
      <c r="R881" s="453"/>
    </row>
    <row r="882" spans="18:18" ht="12.75" customHeight="1" x14ac:dyDescent="0.2">
      <c r="R882" s="453"/>
    </row>
    <row r="883" spans="18:18" ht="12.75" customHeight="1" x14ac:dyDescent="0.2">
      <c r="R883" s="453"/>
    </row>
    <row r="884" spans="18:18" ht="12.75" customHeight="1" x14ac:dyDescent="0.2">
      <c r="R884" s="453"/>
    </row>
    <row r="885" spans="18:18" ht="12.75" customHeight="1" x14ac:dyDescent="0.2">
      <c r="R885" s="453"/>
    </row>
    <row r="886" spans="18:18" ht="12.75" customHeight="1" x14ac:dyDescent="0.2">
      <c r="R886" s="453"/>
    </row>
    <row r="887" spans="18:18" ht="12.75" customHeight="1" x14ac:dyDescent="0.2">
      <c r="R887" s="453"/>
    </row>
    <row r="888" spans="18:18" ht="12.75" customHeight="1" x14ac:dyDescent="0.2">
      <c r="R888" s="453"/>
    </row>
    <row r="889" spans="18:18" ht="12.75" customHeight="1" x14ac:dyDescent="0.2">
      <c r="R889" s="453"/>
    </row>
    <row r="890" spans="18:18" ht="12.75" customHeight="1" x14ac:dyDescent="0.2">
      <c r="R890" s="453"/>
    </row>
    <row r="891" spans="18:18" ht="12.75" customHeight="1" x14ac:dyDescent="0.2">
      <c r="R891" s="453"/>
    </row>
    <row r="892" spans="18:18" ht="12.75" customHeight="1" x14ac:dyDescent="0.2">
      <c r="R892" s="453"/>
    </row>
    <row r="893" spans="18:18" ht="12.75" customHeight="1" x14ac:dyDescent="0.2">
      <c r="R893" s="453"/>
    </row>
    <row r="894" spans="18:18" ht="12.75" customHeight="1" x14ac:dyDescent="0.2">
      <c r="R894" s="453"/>
    </row>
    <row r="895" spans="18:18" ht="12.75" customHeight="1" x14ac:dyDescent="0.2">
      <c r="R895" s="453"/>
    </row>
    <row r="896" spans="18:18" ht="12.75" customHeight="1" x14ac:dyDescent="0.2">
      <c r="R896" s="453"/>
    </row>
    <row r="897" spans="18:18" ht="12.75" customHeight="1" x14ac:dyDescent="0.2">
      <c r="R897" s="453"/>
    </row>
    <row r="898" spans="18:18" ht="12.75" customHeight="1" x14ac:dyDescent="0.2">
      <c r="R898" s="453"/>
    </row>
    <row r="899" spans="18:18" ht="12.75" customHeight="1" x14ac:dyDescent="0.2">
      <c r="R899" s="453"/>
    </row>
    <row r="900" spans="18:18" ht="12.75" customHeight="1" x14ac:dyDescent="0.2">
      <c r="R900" s="453"/>
    </row>
    <row r="901" spans="18:18" ht="12.75" customHeight="1" x14ac:dyDescent="0.2">
      <c r="R901" s="453"/>
    </row>
    <row r="902" spans="18:18" ht="12.75" customHeight="1" x14ac:dyDescent="0.2">
      <c r="R902" s="453"/>
    </row>
    <row r="903" spans="18:18" ht="12.75" customHeight="1" x14ac:dyDescent="0.2">
      <c r="R903" s="453"/>
    </row>
    <row r="904" spans="18:18" ht="12.75" customHeight="1" x14ac:dyDescent="0.2">
      <c r="R904" s="453"/>
    </row>
    <row r="905" spans="18:18" ht="12.75" customHeight="1" x14ac:dyDescent="0.2">
      <c r="R905" s="453"/>
    </row>
    <row r="906" spans="18:18" ht="12.75" customHeight="1" x14ac:dyDescent="0.2">
      <c r="R906" s="453"/>
    </row>
    <row r="907" spans="18:18" ht="12.75" customHeight="1" x14ac:dyDescent="0.2">
      <c r="R907" s="453"/>
    </row>
    <row r="908" spans="18:18" ht="12.75" customHeight="1" x14ac:dyDescent="0.2">
      <c r="R908" s="453"/>
    </row>
    <row r="909" spans="18:18" ht="12.75" customHeight="1" x14ac:dyDescent="0.2">
      <c r="R909" s="453"/>
    </row>
    <row r="910" spans="18:18" ht="12.75" customHeight="1" x14ac:dyDescent="0.2">
      <c r="R910" s="453"/>
    </row>
    <row r="911" spans="18:18" ht="12.75" customHeight="1" x14ac:dyDescent="0.2">
      <c r="R911" s="453"/>
    </row>
    <row r="912" spans="18:18" ht="12.75" customHeight="1" x14ac:dyDescent="0.2">
      <c r="R912" s="453"/>
    </row>
    <row r="913" spans="18:18" ht="12.75" customHeight="1" x14ac:dyDescent="0.2">
      <c r="R913" s="453"/>
    </row>
    <row r="914" spans="18:18" ht="12.75" customHeight="1" x14ac:dyDescent="0.2">
      <c r="R914" s="453"/>
    </row>
    <row r="915" spans="18:18" ht="12.75" customHeight="1" x14ac:dyDescent="0.2">
      <c r="R915" s="453"/>
    </row>
    <row r="916" spans="18:18" ht="12.75" customHeight="1" x14ac:dyDescent="0.2">
      <c r="R916" s="453"/>
    </row>
    <row r="917" spans="18:18" ht="12.75" customHeight="1" x14ac:dyDescent="0.2">
      <c r="R917" s="453"/>
    </row>
    <row r="918" spans="18:18" ht="12.75" customHeight="1" x14ac:dyDescent="0.2">
      <c r="R918" s="453"/>
    </row>
    <row r="919" spans="18:18" ht="12.75" customHeight="1" x14ac:dyDescent="0.2">
      <c r="R919" s="453"/>
    </row>
    <row r="920" spans="18:18" ht="12.75" customHeight="1" x14ac:dyDescent="0.2">
      <c r="R920" s="453"/>
    </row>
    <row r="921" spans="18:18" ht="12.75" customHeight="1" x14ac:dyDescent="0.2">
      <c r="R921" s="453"/>
    </row>
    <row r="922" spans="18:18" ht="12.75" customHeight="1" x14ac:dyDescent="0.2">
      <c r="R922" s="453"/>
    </row>
    <row r="923" spans="18:18" ht="12.75" customHeight="1" x14ac:dyDescent="0.2">
      <c r="R923" s="453"/>
    </row>
    <row r="924" spans="18:18" ht="12.75" customHeight="1" x14ac:dyDescent="0.2">
      <c r="R924" s="453"/>
    </row>
    <row r="925" spans="18:18" ht="12.75" customHeight="1" x14ac:dyDescent="0.2">
      <c r="R925" s="453"/>
    </row>
    <row r="926" spans="18:18" ht="12.75" customHeight="1" x14ac:dyDescent="0.2">
      <c r="R926" s="453"/>
    </row>
    <row r="927" spans="18:18" ht="12.75" customHeight="1" x14ac:dyDescent="0.2">
      <c r="R927" s="453"/>
    </row>
    <row r="928" spans="18:18" ht="12.75" customHeight="1" x14ac:dyDescent="0.2">
      <c r="R928" s="453"/>
    </row>
    <row r="929" spans="18:18" ht="12.75" customHeight="1" x14ac:dyDescent="0.2">
      <c r="R929" s="453"/>
    </row>
    <row r="930" spans="18:18" ht="12.75" customHeight="1" x14ac:dyDescent="0.2">
      <c r="R930" s="453"/>
    </row>
    <row r="931" spans="18:18" ht="12.75" customHeight="1" x14ac:dyDescent="0.2">
      <c r="R931" s="453"/>
    </row>
    <row r="932" spans="18:18" ht="12.75" customHeight="1" x14ac:dyDescent="0.2">
      <c r="R932" s="453"/>
    </row>
    <row r="933" spans="18:18" ht="12.75" customHeight="1" x14ac:dyDescent="0.2">
      <c r="R933" s="453"/>
    </row>
    <row r="934" spans="18:18" ht="12.75" customHeight="1" x14ac:dyDescent="0.2">
      <c r="R934" s="453"/>
    </row>
    <row r="935" spans="18:18" ht="12.75" customHeight="1" x14ac:dyDescent="0.2">
      <c r="R935" s="453"/>
    </row>
    <row r="936" spans="18:18" ht="12.75" customHeight="1" x14ac:dyDescent="0.2">
      <c r="R936" s="453"/>
    </row>
    <row r="937" spans="18:18" ht="12.75" customHeight="1" x14ac:dyDescent="0.2">
      <c r="R937" s="453"/>
    </row>
    <row r="938" spans="18:18" ht="12.75" customHeight="1" x14ac:dyDescent="0.2">
      <c r="R938" s="453"/>
    </row>
    <row r="939" spans="18:18" ht="12.75" customHeight="1" x14ac:dyDescent="0.2">
      <c r="R939" s="453"/>
    </row>
    <row r="940" spans="18:18" ht="12.75" customHeight="1" x14ac:dyDescent="0.2">
      <c r="R940" s="453"/>
    </row>
    <row r="941" spans="18:18" ht="12.75" customHeight="1" x14ac:dyDescent="0.2">
      <c r="R941" s="453"/>
    </row>
    <row r="942" spans="18:18" ht="12.75" customHeight="1" x14ac:dyDescent="0.2">
      <c r="R942" s="453"/>
    </row>
    <row r="943" spans="18:18" ht="12.75" customHeight="1" x14ac:dyDescent="0.2">
      <c r="R943" s="453"/>
    </row>
    <row r="944" spans="18:18" ht="12.75" customHeight="1" x14ac:dyDescent="0.2">
      <c r="R944" s="453"/>
    </row>
    <row r="945" spans="18:18" ht="12.75" customHeight="1" x14ac:dyDescent="0.2">
      <c r="R945" s="453"/>
    </row>
    <row r="946" spans="18:18" ht="12.75" customHeight="1" x14ac:dyDescent="0.2">
      <c r="R946" s="453"/>
    </row>
    <row r="947" spans="18:18" ht="12.75" customHeight="1" x14ac:dyDescent="0.2">
      <c r="R947" s="453"/>
    </row>
    <row r="948" spans="18:18" ht="12.75" customHeight="1" x14ac:dyDescent="0.2">
      <c r="R948" s="453"/>
    </row>
    <row r="949" spans="18:18" ht="12.75" customHeight="1" x14ac:dyDescent="0.2">
      <c r="R949" s="453"/>
    </row>
    <row r="950" spans="18:18" ht="12.75" customHeight="1" x14ac:dyDescent="0.2">
      <c r="R950" s="453"/>
    </row>
    <row r="951" spans="18:18" ht="12.75" customHeight="1" x14ac:dyDescent="0.2">
      <c r="R951" s="453"/>
    </row>
    <row r="952" spans="18:18" ht="12.75" customHeight="1" x14ac:dyDescent="0.2">
      <c r="R952" s="453"/>
    </row>
    <row r="953" spans="18:18" ht="12.75" customHeight="1" x14ac:dyDescent="0.2">
      <c r="R953" s="453"/>
    </row>
    <row r="954" spans="18:18" ht="12.75" customHeight="1" x14ac:dyDescent="0.2">
      <c r="R954" s="453"/>
    </row>
    <row r="955" spans="18:18" ht="12.75" customHeight="1" x14ac:dyDescent="0.2">
      <c r="R955" s="453"/>
    </row>
    <row r="956" spans="18:18" ht="12.75" customHeight="1" x14ac:dyDescent="0.2">
      <c r="R956" s="453"/>
    </row>
    <row r="957" spans="18:18" ht="12.75" customHeight="1" x14ac:dyDescent="0.2">
      <c r="R957" s="453"/>
    </row>
    <row r="958" spans="18:18" ht="12.75" customHeight="1" x14ac:dyDescent="0.2">
      <c r="R958" s="453"/>
    </row>
    <row r="959" spans="18:18" ht="12.75" customHeight="1" x14ac:dyDescent="0.2">
      <c r="R959" s="453"/>
    </row>
    <row r="960" spans="18:18" ht="12.75" customHeight="1" x14ac:dyDescent="0.2">
      <c r="R960" s="453"/>
    </row>
    <row r="961" spans="18:18" ht="12.75" customHeight="1" x14ac:dyDescent="0.2">
      <c r="R961" s="453"/>
    </row>
    <row r="962" spans="18:18" ht="12.75" customHeight="1" x14ac:dyDescent="0.2">
      <c r="R962" s="453"/>
    </row>
    <row r="963" spans="18:18" ht="12.75" customHeight="1" x14ac:dyDescent="0.2">
      <c r="R963" s="453"/>
    </row>
    <row r="964" spans="18:18" ht="12.75" customHeight="1" x14ac:dyDescent="0.2">
      <c r="R964" s="453"/>
    </row>
    <row r="965" spans="18:18" ht="12.75" customHeight="1" x14ac:dyDescent="0.2">
      <c r="R965" s="453"/>
    </row>
    <row r="966" spans="18:18" ht="12.75" customHeight="1" x14ac:dyDescent="0.2">
      <c r="R966" s="453"/>
    </row>
    <row r="967" spans="18:18" ht="12.75" customHeight="1" x14ac:dyDescent="0.2">
      <c r="R967" s="453"/>
    </row>
    <row r="968" spans="18:18" ht="12.75" customHeight="1" x14ac:dyDescent="0.2">
      <c r="R968" s="453"/>
    </row>
    <row r="969" spans="18:18" ht="12.75" customHeight="1" x14ac:dyDescent="0.2">
      <c r="R969" s="453"/>
    </row>
    <row r="970" spans="18:18" ht="12.75" customHeight="1" x14ac:dyDescent="0.2">
      <c r="R970" s="453"/>
    </row>
    <row r="971" spans="18:18" ht="12.75" customHeight="1" x14ac:dyDescent="0.2">
      <c r="R971" s="453"/>
    </row>
    <row r="972" spans="18:18" ht="12.75" customHeight="1" x14ac:dyDescent="0.2">
      <c r="R972" s="453"/>
    </row>
    <row r="973" spans="18:18" ht="12.75" customHeight="1" x14ac:dyDescent="0.2">
      <c r="R973" s="453"/>
    </row>
    <row r="974" spans="18:18" ht="12.75" customHeight="1" x14ac:dyDescent="0.2">
      <c r="R974" s="453"/>
    </row>
    <row r="975" spans="18:18" ht="12.75" customHeight="1" x14ac:dyDescent="0.2">
      <c r="R975" s="453"/>
    </row>
    <row r="976" spans="18:18" ht="12.75" customHeight="1" x14ac:dyDescent="0.2">
      <c r="R976" s="453"/>
    </row>
    <row r="977" spans="18:18" ht="12.75" customHeight="1" x14ac:dyDescent="0.2">
      <c r="R977" s="453"/>
    </row>
    <row r="978" spans="18:18" ht="12.75" customHeight="1" x14ac:dyDescent="0.2">
      <c r="R978" s="453"/>
    </row>
    <row r="979" spans="18:18" ht="12.75" customHeight="1" x14ac:dyDescent="0.2">
      <c r="R979" s="453"/>
    </row>
    <row r="980" spans="18:18" ht="12.75" customHeight="1" x14ac:dyDescent="0.2">
      <c r="R980" s="453"/>
    </row>
    <row r="981" spans="18:18" ht="12.75" customHeight="1" x14ac:dyDescent="0.2">
      <c r="R981" s="453"/>
    </row>
    <row r="982" spans="18:18" ht="12.75" customHeight="1" x14ac:dyDescent="0.2">
      <c r="R982" s="453"/>
    </row>
    <row r="983" spans="18:18" ht="12.75" customHeight="1" x14ac:dyDescent="0.2">
      <c r="R983" s="453"/>
    </row>
    <row r="984" spans="18:18" ht="12.75" customHeight="1" x14ac:dyDescent="0.2">
      <c r="R984" s="453"/>
    </row>
    <row r="985" spans="18:18" ht="12.75" customHeight="1" x14ac:dyDescent="0.2">
      <c r="R985" s="453"/>
    </row>
    <row r="986" spans="18:18" ht="12.75" customHeight="1" x14ac:dyDescent="0.2">
      <c r="R986" s="453"/>
    </row>
    <row r="987" spans="18:18" ht="12.75" customHeight="1" x14ac:dyDescent="0.2">
      <c r="R987" s="453"/>
    </row>
    <row r="988" spans="18:18" ht="12.75" customHeight="1" x14ac:dyDescent="0.2">
      <c r="R988" s="453"/>
    </row>
    <row r="989" spans="18:18" ht="12.75" customHeight="1" x14ac:dyDescent="0.2">
      <c r="R989" s="453"/>
    </row>
    <row r="990" spans="18:18" ht="12.75" customHeight="1" x14ac:dyDescent="0.2">
      <c r="R990" s="453"/>
    </row>
    <row r="991" spans="18:18" ht="12.75" customHeight="1" x14ac:dyDescent="0.2">
      <c r="R991" s="453"/>
    </row>
    <row r="992" spans="18:18" ht="12.75" customHeight="1" x14ac:dyDescent="0.2">
      <c r="R992" s="453"/>
    </row>
    <row r="993" spans="18:18" ht="12.75" customHeight="1" x14ac:dyDescent="0.2">
      <c r="R993" s="453"/>
    </row>
    <row r="994" spans="18:18" ht="12.75" customHeight="1" x14ac:dyDescent="0.2">
      <c r="R994" s="453"/>
    </row>
    <row r="995" spans="18:18" ht="12.75" customHeight="1" x14ac:dyDescent="0.2">
      <c r="R995" s="453"/>
    </row>
    <row r="996" spans="18:18" ht="12.75" customHeight="1" x14ac:dyDescent="0.2">
      <c r="R996" s="453"/>
    </row>
    <row r="997" spans="18:18" ht="12.75" customHeight="1" x14ac:dyDescent="0.2">
      <c r="R997" s="453"/>
    </row>
    <row r="998" spans="18:18" ht="12.75" customHeight="1" x14ac:dyDescent="0.2">
      <c r="R998" s="453"/>
    </row>
    <row r="999" spans="18:18" ht="12.75" customHeight="1" x14ac:dyDescent="0.2">
      <c r="R999" s="453"/>
    </row>
    <row r="1000" spans="18:18" ht="12.75" customHeight="1" x14ac:dyDescent="0.2">
      <c r="R1000" s="453"/>
    </row>
    <row r="1001" spans="18:18" ht="12.75" customHeight="1" x14ac:dyDescent="0.2">
      <c r="R1001" s="453"/>
    </row>
    <row r="1002" spans="18:18" ht="12.75" customHeight="1" x14ac:dyDescent="0.2">
      <c r="R1002" s="453"/>
    </row>
  </sheetData>
  <mergeCells count="4">
    <mergeCell ref="A5:C5"/>
    <mergeCell ref="A6:B6"/>
    <mergeCell ref="A47:C47"/>
    <mergeCell ref="A48:B48"/>
  </mergeCells>
  <pageMargins left="0.75" right="0.75" top="1" bottom="1" header="0" footer="0"/>
  <pageSetup orientation="landscape"/>
  <headerFooter>
    <oddFooter>&amp;C000000&amp;P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52</vt:i4>
      </vt:variant>
    </vt:vector>
  </HeadingPairs>
  <TitlesOfParts>
    <vt:vector size="52" baseType="lpstr">
      <vt:lpstr>Technical Drawings</vt:lpstr>
      <vt:lpstr>Index</vt:lpstr>
      <vt:lpstr>CNC Flute Dimensions</vt:lpstr>
      <vt:lpstr>Low to High Range</vt:lpstr>
      <vt:lpstr>Pivot Table 2</vt:lpstr>
      <vt:lpstr>Built</vt:lpstr>
      <vt:lpstr>Price Calculator</vt:lpstr>
      <vt:lpstr>Customers</vt:lpstr>
      <vt:lpstr>Mode 1&amp;4 Pent.</vt:lpstr>
      <vt:lpstr>Wolfram Export</vt:lpstr>
      <vt:lpstr>Irish Flute</vt:lpstr>
      <vt:lpstr>Shakuhachi</vt:lpstr>
      <vt:lpstr>Tin Whistle</vt:lpstr>
      <vt:lpstr>Fujara</vt:lpstr>
      <vt:lpstr>Tuning Reference</vt:lpstr>
      <vt:lpstr>Kena - Kenacho</vt:lpstr>
      <vt:lpstr>Xiao Family</vt:lpstr>
      <vt:lpstr>Duduk Family</vt:lpstr>
      <vt:lpstr>Moseño</vt:lpstr>
      <vt:lpstr>Andean Duct Flutes</vt:lpstr>
      <vt:lpstr>Siku - Zampoña</vt:lpstr>
      <vt:lpstr>Tongue Drum</vt:lpstr>
      <vt:lpstr>Marimba</vt:lpstr>
      <vt:lpstr>Resonant Box</vt:lpstr>
      <vt:lpstr>Electric Guitar Bodies</vt:lpstr>
      <vt:lpstr>Electric Violin</vt:lpstr>
      <vt:lpstr>Floor Harp</vt:lpstr>
      <vt:lpstr>Xylophone</vt:lpstr>
      <vt:lpstr>Whamola Bass</vt:lpstr>
      <vt:lpstr>Ukulele</vt:lpstr>
      <vt:lpstr>Acoustic Violin</vt:lpstr>
      <vt:lpstr>Segmented Ashiko</vt:lpstr>
      <vt:lpstr>CNC Guitar Bodies</vt:lpstr>
      <vt:lpstr>Segmented Conga</vt:lpstr>
      <vt:lpstr>Kora</vt:lpstr>
      <vt:lpstr>Ngoni</vt:lpstr>
      <vt:lpstr>Stave Lute-Oud</vt:lpstr>
      <vt:lpstr>Didgeridoo</vt:lpstr>
      <vt:lpstr>Handpan</vt:lpstr>
      <vt:lpstr>Steel Tongue Drum</vt:lpstr>
      <vt:lpstr>Wood Shell Tongue Drum</vt:lpstr>
      <vt:lpstr>Tubular Bells</vt:lpstr>
      <vt:lpstr>Steel Pan</vt:lpstr>
      <vt:lpstr>Cajón</vt:lpstr>
      <vt:lpstr>Glockenspiel</vt:lpstr>
      <vt:lpstr>Rainstick</vt:lpstr>
      <vt:lpstr>Ocarina</vt:lpstr>
      <vt:lpstr>Ceramic Electric Violin</vt:lpstr>
      <vt:lpstr>Duntong</vt:lpstr>
      <vt:lpstr>Udu Drum Family</vt:lpstr>
      <vt:lpstr>Great Highland Bagpipe</vt:lpstr>
      <vt:lpstr>Ceramic Tongue Drum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Tony Koop</cp:lastModifiedBy>
  <dcterms:created xsi:type="dcterms:W3CDTF">2026-05-01T02:02:13Z</dcterms:created>
  <dcterms:modified xsi:type="dcterms:W3CDTF">2026-05-02T07:41:05Z</dcterms:modified>
</cp:coreProperties>
</file>