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_Inputs" sheetId="1" state="visible" r:id="rId3"/>
    <sheet name="Acoustics" sheetId="2" state="visible" r:id="rId4"/>
    <sheet name="Pipes" sheetId="3" state="visible" r:id="rId5"/>
    <sheet name="Holes" sheetId="4" state="visible" r:id="rId6"/>
    <sheet name="Family" sheetId="5" state="visible" r:id="rId7"/>
    <sheet name="BOM" sheetId="6" state="visible" r:id="rId8"/>
    <sheet name="Validation" sheetId="7" state="visible" r:id="rId9"/>
  </sheets>
  <definedNames>
    <definedName function="false" hidden="false" name="A4_ref" vbProcedure="false">Master_Inputs!$B$6</definedName>
    <definedName function="false" hidden="false" name="correction_pct" vbProcedure="false">Master_Inputs!$B$49</definedName>
    <definedName function="false" hidden="false" name="c_speed" vbProcedure="false">Master_Inputs!$B$5</definedName>
    <definedName function="false" hidden="false" name="dr1_bore_ID" vbProcedure="false">Master_Inputs!$B$29</definedName>
    <definedName function="false" hidden="false" name="dr1_reed_pad" vbProcedure="false">Master_Inputs!$B$31</definedName>
    <definedName function="false" hidden="false" name="dr1_target_offset" vbProcedure="false">Master_Inputs!$B$30</definedName>
    <definedName function="false" hidden="false" name="dr2_bore_ID" vbProcedure="false">Master_Inputs!$B$34</definedName>
    <definedName function="false" hidden="false" name="dr2_reed_pad" vbProcedure="false">Master_Inputs!$B$36</definedName>
    <definedName function="false" hidden="false" name="dr2_target_offset" vbProcedure="false">Master_Inputs!$B$35</definedName>
    <definedName function="false" hidden="false" name="end_corr_k" vbProcedure="false">Master_Inputs!$B$50</definedName>
    <definedName function="false" hidden="false" name="f_tonic" vbProcedure="false">Master_Inputs!$B$10</definedName>
    <definedName function="false" hidden="false" name="gourd_belly_OD" vbProcedure="false">Master_Inputs!$B$15</definedName>
    <definedName function="false" hidden="false" name="gourd_height" vbProcedure="false">Master_Inputs!$B$16</definedName>
    <definedName function="false" hidden="false" name="gourd_neck_OD" vbProcedure="false">Master_Inputs!$B$14</definedName>
    <definedName function="false" hidden="false" name="gourd_species" vbProcedure="false">Master_Inputs!$B$18</definedName>
    <definedName function="false" hidden="false" name="gourd_volume_in3" vbProcedure="false">Master_Inputs!$B$13</definedName>
    <definedName function="false" hidden="false" name="gourd_wall" vbProcedure="false">Master_Inputs!$B$17</definedName>
    <definedName function="false" hidden="false" name="key_midi" vbProcedure="false">Master_Inputs!$B$9</definedName>
    <definedName function="false" hidden="false" name="L_tongue_tonic" vbProcedure="false">Acoustics!$B$13</definedName>
    <definedName function="false" hidden="false" name="mel_bore_ID" vbProcedure="false">Master_Inputs!$B$21</definedName>
    <definedName function="false" hidden="false" name="mel_hole_count" vbProcedure="false">Master_Inputs!$B$24</definedName>
    <definedName function="false" hidden="false" name="mel_hole_dia" vbProcedure="false">Master_Inputs!$B$23</definedName>
    <definedName function="false" hidden="false" name="mel_reed_pad" vbProcedure="false">Master_Inputs!$B$25</definedName>
    <definedName function="false" hidden="false" name="mel_wall" vbProcedure="false">Master_Inputs!$B$22</definedName>
    <definedName function="false" hidden="false" name="mel_wood" vbProcedure="false">Master_Inputs!$B$26</definedName>
    <definedName function="false" hidden="false" name="pull_down_cents" vbProcedure="false">Master_Inputs!$B$48</definedName>
    <definedName function="false" hidden="false" name="reed_E_psi" vbProcedure="false">Master_Inputs!$B$39</definedName>
    <definedName function="false" hidden="false" name="reed_K_imperial" vbProcedure="false">Master_Inputs!$B$41</definedName>
    <definedName function="false" hidden="false" name="reed_material" vbProcedure="false">Master_Inputs!$B$45</definedName>
    <definedName function="false" hidden="false" name="reed_rho" vbProcedure="false">Master_Inputs!$B$40</definedName>
    <definedName function="false" hidden="false" name="reed_slot_clear" vbProcedure="false">Master_Inputs!$B$44</definedName>
    <definedName function="false" hidden="false" name="reed_thickness" vbProcedure="false">Master_Inputs!$B$42</definedName>
    <definedName function="false" hidden="false" name="reed_tongue_w" vbProcedure="false">Master_Inputs!$B$43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<sst xmlns="http://schemas.openxmlformats.org/spreadsheetml/2006/main" count="391" uniqueCount="346">
  <si>
    <r>
      <rPr>
        <b val="true"/>
        <sz val="14"/>
        <rFont val="Arial"/>
        <family val="0"/>
        <charset val="1"/>
      </rPr>
      <t xml:space="preserve">Hulusi (</t>
    </r>
    <r>
      <rPr>
        <b val="true"/>
        <sz val="14"/>
        <rFont val="DejaVu Sans"/>
        <family val="2"/>
      </rPr>
      <t xml:space="preserve">葫芦丝</t>
    </r>
    <r>
      <rPr>
        <b val="true"/>
        <sz val="14"/>
        <rFont val="Arial"/>
        <family val="0"/>
        <charset val="1"/>
      </rPr>
      <t xml:space="preserve">) — Master Inputs</t>
    </r>
  </si>
  <si>
    <t xml:space="preserve">Single source of truth.  Every other sheet derives from named ranges below.</t>
  </si>
  <si>
    <t xml:space="preserve">  ACOUSTIC CONSTANTS</t>
  </si>
  <si>
    <t xml:space="preserve">Speed of sound (in/s, 68°F)</t>
  </si>
  <si>
    <t xml:space="preserve">c_speed</t>
  </si>
  <si>
    <t xml:space="preserve">imperial; for SI use 343000 mm/s</t>
  </si>
  <si>
    <t xml:space="preserve">A4 reference frequency (Hz)</t>
  </si>
  <si>
    <t xml:space="preserve">A4_ref</t>
  </si>
  <si>
    <t xml:space="preserve">concert pitch</t>
  </si>
  <si>
    <t xml:space="preserve">  KEY (selectable — drives Family sheet)</t>
  </si>
  <si>
    <t xml:space="preserve">Selected key (MIDI of all-holes-closed note)</t>
  </si>
  <si>
    <t xml:space="preserve">key_midi</t>
  </si>
  <si>
    <t xml:space="preserve">F=65 (standard prototype 1).  Bb=58 C=60 D=62 G=67</t>
  </si>
  <si>
    <t xml:space="preserve">Tonic frequency (derived)</t>
  </si>
  <si>
    <t xml:space="preserve">f_tonic</t>
  </si>
  <si>
    <t xml:space="preserve">all-holes-closed = tonic (modern Western convention)</t>
  </si>
  <si>
    <t xml:space="preserve">  GOURD WIND CHEST</t>
  </si>
  <si>
    <t xml:space="preserve">Gourd internal volume (in³)</t>
  </si>
  <si>
    <t xml:space="preserve">gourd_volume_in3</t>
  </si>
  <si>
    <t xml:space="preserve">wind chest, NOT pitch-critical; provides pressure stability</t>
  </si>
  <si>
    <t xml:space="preserve">Gourd OD at neck (in)</t>
  </si>
  <si>
    <t xml:space="preserve">gourd_neck_OD</t>
  </si>
  <si>
    <t xml:space="preserve">mouthpiece coupler diameter</t>
  </si>
  <si>
    <t xml:space="preserve">Gourd OD at belly (in)</t>
  </si>
  <si>
    <t xml:space="preserve">gourd_belly_OD</t>
  </si>
  <si>
    <t xml:space="preserve">max diameter, lathe-turned outer profile</t>
  </si>
  <si>
    <t xml:space="preserve">Gourd height (in)</t>
  </si>
  <si>
    <t xml:space="preserve">gourd_height</t>
  </si>
  <si>
    <t xml:space="preserve">neck base to belly base</t>
  </si>
  <si>
    <t xml:space="preserve">Gourd wall thickness (in)</t>
  </si>
  <si>
    <t xml:space="preserve">gourd_wall</t>
  </si>
  <si>
    <t xml:space="preserve">lathe-turned wood; affects mass + tap tone</t>
  </si>
  <si>
    <t xml:space="preserve">Gourd wood species</t>
  </si>
  <si>
    <t xml:space="preserve">Walnut</t>
  </si>
  <si>
    <t xml:space="preserve">gourd_species</t>
  </si>
  <si>
    <t xml:space="preserve">dropdown: Walnut / Maple / Cherry / Padauk / dried-gourd</t>
  </si>
  <si>
    <t xml:space="preserve">  MELODY PIPE (7 holes — 6 front + 1 thumb)</t>
  </si>
  <si>
    <t xml:space="preserve">Melody bore ID (in)</t>
  </si>
  <si>
    <t xml:space="preserve">mel_bore_ID</t>
  </si>
  <si>
    <t xml:space="preserve">internal bore; 12.7 mm typical</t>
  </si>
  <si>
    <t xml:space="preserve">Melody wall thickness (in)</t>
  </si>
  <si>
    <t xml:space="preserve">mel_wall</t>
  </si>
  <si>
    <t xml:space="preserve">tube wall; 3.2 mm typical</t>
  </si>
  <si>
    <t xml:space="preserve">Finger hole diameter (in)</t>
  </si>
  <si>
    <t xml:space="preserve">mel_hole_dia</t>
  </si>
  <si>
    <t xml:space="preserve">uniform hole size; 7 mm typical</t>
  </si>
  <si>
    <t xml:space="preserve">Hole count (front + thumb)</t>
  </si>
  <si>
    <t xml:space="preserve">mel_hole_count</t>
  </si>
  <si>
    <t xml:space="preserve">6 front + 1 thumb</t>
  </si>
  <si>
    <t xml:space="preserve">Reed-pad clearance (in)</t>
  </si>
  <si>
    <t xml:space="preserve">mel_reed_pad</t>
  </si>
  <si>
    <t xml:space="preserve">extra length above acoustic top for reed mounting</t>
  </si>
  <si>
    <t xml:space="preserve">Melody tube wood</t>
  </si>
  <si>
    <t xml:space="preserve">Pakkawood</t>
  </si>
  <si>
    <t xml:space="preserve">mel_wood</t>
  </si>
  <si>
    <t xml:space="preserve">dropdown: Bamboo / Pakkawood / Maple / Walnut / Padauk</t>
  </si>
  <si>
    <t xml:space="preserve">  DRONE 1 (fixed 5th above tonic)</t>
  </si>
  <si>
    <t xml:space="preserve">Drone 1 bore ID (in)</t>
  </si>
  <si>
    <t xml:space="preserve">dr1_bore_ID</t>
  </si>
  <si>
    <t xml:space="preserve">match melody for build simplicity</t>
  </si>
  <si>
    <t xml:space="preserve">Drone 1 semitone offset from tonic</t>
  </si>
  <si>
    <t xml:space="preserve">dr1_target_offset</t>
  </si>
  <si>
    <t xml:space="preserve">perfect 5th = +7 semitones</t>
  </si>
  <si>
    <t xml:space="preserve">Drone 1 reed-pad clearance (in)</t>
  </si>
  <si>
    <t xml:space="preserve">dr1_reed_pad</t>
  </si>
  <si>
    <t xml:space="preserve">  DRONE 2 (waxable — octave above tonic by default)</t>
  </si>
  <si>
    <t xml:space="preserve">Drone 2 bore ID (in)</t>
  </si>
  <si>
    <t xml:space="preserve">dr2_bore_ID</t>
  </si>
  <si>
    <t xml:space="preserve">Drone 2 semitone offset from tonic</t>
  </si>
  <si>
    <t xml:space="preserve">dr2_target_offset</t>
  </si>
  <si>
    <t xml:space="preserve">octave = +12; some traditional Dai = -5 (4th below)</t>
  </si>
  <si>
    <t xml:space="preserve">Drone 2 reed-pad clearance (in)</t>
  </si>
  <si>
    <t xml:space="preserve">dr2_reed_pad</t>
  </si>
  <si>
    <t xml:space="preserve">  REED MATERIAL (free-reed cantilever)</t>
  </si>
  <si>
    <t xml:space="preserve">Reed Young's modulus E (psi)</t>
  </si>
  <si>
    <t xml:space="preserve">reed_E_psi</t>
  </si>
  <si>
    <t xml:space="preserve">brass C26000 cartridge brass</t>
  </si>
  <si>
    <t xml:space="preserve">Reed density ρ (lb/in³)</t>
  </si>
  <si>
    <t xml:space="preserve">reed_rho</t>
  </si>
  <si>
    <t xml:space="preserve">brass</t>
  </si>
  <si>
    <t xml:space="preserve">Reed K constant (imperial)</t>
  </si>
  <si>
    <t xml:space="preserve">reed_K_imperial</t>
  </si>
  <si>
    <t xml:space="preserve">K = (1.875²)/(2π)·√(E/(12·ρ))/0.0254 — verify per material</t>
  </si>
  <si>
    <t xml:space="preserve">Reed shim thickness (in)</t>
  </si>
  <si>
    <t xml:space="preserve">reed_thickness</t>
  </si>
  <si>
    <t xml:space="preserve">brass shim 8 mil; 0.20 mm</t>
  </si>
  <si>
    <t xml:space="preserve">Reed tongue width (in)</t>
  </si>
  <si>
    <t xml:space="preserve">reed_tongue_w</t>
  </si>
  <si>
    <t xml:space="preserve">4 mm; affects volume not pitch</t>
  </si>
  <si>
    <t xml:space="preserve">Reed slot clearance per side (in)</t>
  </si>
  <si>
    <t xml:space="preserve">reed_slot_clear</t>
  </si>
  <si>
    <t xml:space="preserve">frame slot is tongue+2*clearance wide</t>
  </si>
  <si>
    <t xml:space="preserve">Reed material</t>
  </si>
  <si>
    <t xml:space="preserve">Brass C26000</t>
  </si>
  <si>
    <t xml:space="preserve">reed_material</t>
  </si>
  <si>
    <t xml:space="preserve">dropdown: Brass C26000 / Phosphor Bronze / Beryllium Copper</t>
  </si>
  <si>
    <t xml:space="preserve">  EMPIRICAL CORRECTIONS (post-build calibration)</t>
  </si>
  <si>
    <t xml:space="preserve">Reed pull-down (cents, target)</t>
  </si>
  <si>
    <t xml:space="preserve">pull_down_cents</t>
  </si>
  <si>
    <t xml:space="preserve">reed cut sharp by this much; tube pulls it down to its resonance</t>
  </si>
  <si>
    <t xml:space="preserve">Pipe length correction (%)</t>
  </si>
  <si>
    <t xml:space="preserve">correction_pct</t>
  </si>
  <si>
    <t xml:space="preserve">post-build: if pipes consistently flat, set negative; sharp = positive</t>
  </si>
  <si>
    <t xml:space="preserve">End correction multiplier</t>
  </si>
  <si>
    <t xml:space="preserve">end_corr_k</t>
  </si>
  <si>
    <t xml:space="preserve">Levine-Schwinger ≈ 0.6 for unflanged; 0.85 flanged</t>
  </si>
  <si>
    <t xml:space="preserve">Hulusi — Acoustic Helpers</t>
  </si>
  <si>
    <t xml:space="preserve">Stopped-pipe + free-reed model.  All formulas reference Master_Inputs named globals.</t>
  </si>
  <si>
    <t xml:space="preserve">  STOPPED PIPE  —  f = c / (4 · L_eff)</t>
  </si>
  <si>
    <t xml:space="preserve">Quantity</t>
  </si>
  <si>
    <t xml:space="preserve">Formula / Value</t>
  </si>
  <si>
    <t xml:space="preserve">Notes</t>
  </si>
  <si>
    <t xml:space="preserve">Bore radius — melody (in)</t>
  </si>
  <si>
    <t xml:space="preserve">r = ID/2</t>
  </si>
  <si>
    <t xml:space="preserve">End correction — melody (in)</t>
  </si>
  <si>
    <t xml:space="preserve">ΔL ≈ 0.6·r at open foot</t>
  </si>
  <si>
    <t xml:space="preserve">Acoustic length needed for tonic (in)</t>
  </si>
  <si>
    <t xml:space="preserve">first-order target — refine with end corr</t>
  </si>
  <si>
    <t xml:space="preserve">Effective length for tonic (in)</t>
  </si>
  <si>
    <t xml:space="preserve">physical tube length, before reed pad</t>
  </si>
  <si>
    <t xml:space="preserve">Tube length, melody, total (in)</t>
  </si>
  <si>
    <t xml:space="preserve">what the CNC sees — includes reed mount allowance</t>
  </si>
  <si>
    <t xml:space="preserve">  FREE REED  —  f_reed = K · t / L_tongue²</t>
  </si>
  <si>
    <t xml:space="preserve">Reed tongue length for tonic (in)</t>
  </si>
  <si>
    <t xml:space="preserve">tune reed sharp by pull_down_cents so tube pulls it down</t>
  </si>
  <si>
    <t xml:space="preserve">Reed natural frequency at that L (Hz)</t>
  </si>
  <si>
    <t xml:space="preserve">should match f_tonic shifted up by pull_down_cents</t>
  </si>
  <si>
    <t xml:space="preserve">  CENTS-ERROR HELPER</t>
  </si>
  <si>
    <t xml:space="preserve">cents_error(measured, target)</t>
  </si>
  <si>
    <t xml:space="preserve">1200·LOG2(meas/tgt)</t>
  </si>
  <si>
    <t xml:space="preserve">use this in Validation sheet</t>
  </si>
  <si>
    <t xml:space="preserve">Hulusi — Per-Pipe Geometry</t>
  </si>
  <si>
    <t xml:space="preserve">Three pipes, one column each.  All formulas pull from Master_Inputs.</t>
  </si>
  <si>
    <t xml:space="preserve">Melody</t>
  </si>
  <si>
    <t xml:space="preserve">Drone 1 (5th)</t>
  </si>
  <si>
    <t xml:space="preserve">Drone 2 (oct/wax)</t>
  </si>
  <si>
    <t xml:space="preserve">Semitone offset from tonic</t>
  </si>
  <si>
    <t xml:space="preserve">melody all-closed = tonic; drones fixed</t>
  </si>
  <si>
    <t xml:space="preserve">MIDI note</t>
  </si>
  <si>
    <t xml:space="preserve">Target frequency (Hz)</t>
  </si>
  <si>
    <t xml:space="preserve">from MIDI</t>
  </si>
  <si>
    <t xml:space="preserve">Bore ID (in)</t>
  </si>
  <si>
    <t xml:space="preserve">from Master_Inputs</t>
  </si>
  <si>
    <t xml:space="preserve">End correction ΔL (in)</t>
  </si>
  <si>
    <t xml:space="preserve">0.6·r at open foot</t>
  </si>
  <si>
    <t xml:space="preserve">Acoustic length c/(4·f) (in)</t>
  </si>
  <si>
    <t xml:space="preserve">first-order, no end-corr</t>
  </si>
  <si>
    <t xml:space="preserve">Effective length L_eff (in)</t>
  </si>
  <si>
    <t xml:space="preserve">physical tube length</t>
  </si>
  <si>
    <t xml:space="preserve">Length correction (%)</t>
  </si>
  <si>
    <t xml:space="preserve">post-build empirical knob</t>
  </si>
  <si>
    <t xml:space="preserve">Corrected tube length (in)</t>
  </si>
  <si>
    <t xml:space="preserve">what to cut, before adding reed-pad</t>
  </si>
  <si>
    <t xml:space="preserve">extra above acoustic top for reed mount</t>
  </si>
  <si>
    <t xml:space="preserve">TOTAL CUT LENGTH (in)</t>
  </si>
  <si>
    <t xml:space="preserve">→ goes to cut-list.csv</t>
  </si>
  <si>
    <t xml:space="preserve">  REED TARGETS (cantilever, brass shim)</t>
  </si>
  <si>
    <t xml:space="preserve">Reed target freq (Hz, sharp by pull_down_cents)</t>
  </si>
  <si>
    <t xml:space="preserve">tube pulls reed down to f_pipe</t>
  </si>
  <si>
    <t xml:space="preserve">Reed tongue length (in)</t>
  </si>
  <si>
    <t xml:space="preserve">L = √(K·t / f)</t>
  </si>
  <si>
    <t xml:space="preserve">uniform; affects volume not pitch</t>
  </si>
  <si>
    <t xml:space="preserve">Reed slot opening (in, frame)</t>
  </si>
  <si>
    <t xml:space="preserve">tongue + clearance both sides</t>
  </si>
  <si>
    <t xml:space="preserve">Hulusi — Melody Pipe Finger-Hole Layout</t>
  </si>
  <si>
    <t xml:space="preserve">All-holes-closed = tonic.  Default = major scale (Western convention).</t>
  </si>
  <si>
    <t xml:space="preserve">Edit Semitone column for traditional Chinese tuning (e.g. all-closed = sol).</t>
  </si>
  <si>
    <t xml:space="preserve">Hole #</t>
  </si>
  <si>
    <t xml:space="preserve">Scale degree</t>
  </si>
  <si>
    <t xml:space="preserve">Semitone</t>
  </si>
  <si>
    <t xml:space="preserve">Frequency (Hz)</t>
  </si>
  <si>
    <t xml:space="preserve">Dist from foot (in)</t>
  </si>
  <si>
    <t xml:space="preserve">Hole Ø (in)</t>
  </si>
  <si>
    <t xml:space="preserve">tonic +2 (re/sol→la)</t>
  </si>
  <si>
    <t xml:space="preserve">lowest hole — first opened</t>
  </si>
  <si>
    <t xml:space="preserve">tonic +4 (mi)</t>
  </si>
  <si>
    <t xml:space="preserve">tonic +5 (fa)</t>
  </si>
  <si>
    <t xml:space="preserve">tonic +7 (sol)</t>
  </si>
  <si>
    <t xml:space="preserve">perfect 5th — sometimes drone-matching</t>
  </si>
  <si>
    <t xml:space="preserve">tonic +9 (la)</t>
  </si>
  <si>
    <t xml:space="preserve">tonic +11 (ti)</t>
  </si>
  <si>
    <t xml:space="preserve">tonic +12 (octave, thumb)</t>
  </si>
  <si>
    <t xml:space="preserve">thumb hole on back</t>
  </si>
  <si>
    <t xml:space="preserve">—</t>
  </si>
  <si>
    <t xml:space="preserve">all closed = tonic (reference)</t>
  </si>
  <si>
    <t xml:space="preserve">fundamental at full pipe length</t>
  </si>
  <si>
    <t xml:space="preserve">Hulusi Family — Live by Key</t>
  </si>
  <si>
    <t xml:space="preserve">Every dimension recalculates from Master_Inputs.  Change mel_bore_ID once → all 5 keys update.</t>
  </si>
  <si>
    <t xml:space="preserve">Model</t>
  </si>
  <si>
    <t xml:space="preserve">Key</t>
  </si>
  <si>
    <t xml:space="preserve">MIDI</t>
  </si>
  <si>
    <t xml:space="preserve">Tonic Hz</t>
  </si>
  <si>
    <t xml:space="preserve">Mel L (in)</t>
  </si>
  <si>
    <t xml:space="preserve">Dr1 L (in)</t>
  </si>
  <si>
    <t xml:space="preserve">Dr2 L (in)</t>
  </si>
  <si>
    <t xml:space="preserve">Reed L mel (in)</t>
  </si>
  <si>
    <t xml:space="preserve">Reed L dr1 (in)</t>
  </si>
  <si>
    <t xml:space="preserve">Best for</t>
  </si>
  <si>
    <t xml:space="preserve">HUL-Bb</t>
  </si>
  <si>
    <t xml:space="preserve">B♭</t>
  </si>
  <si>
    <t xml:space="preserve">low / warm voice</t>
  </si>
  <si>
    <t xml:space="preserve">HUL-C</t>
  </si>
  <si>
    <t xml:space="preserve">C</t>
  </si>
  <si>
    <t xml:space="preserve">intermediate / vocal</t>
  </si>
  <si>
    <t xml:space="preserve">HUL-D</t>
  </si>
  <si>
    <t xml:space="preserve">D</t>
  </si>
  <si>
    <t xml:space="preserve">folk / dance pieces</t>
  </si>
  <si>
    <t xml:space="preserve">HUL-F</t>
  </si>
  <si>
    <t xml:space="preserve">F</t>
  </si>
  <si>
    <t xml:space="preserve">STANDARD — prototype 1</t>
  </si>
  <si>
    <t xml:space="preserve">HUL-G</t>
  </si>
  <si>
    <t xml:space="preserve">G</t>
  </si>
  <si>
    <t xml:space="preserve">bright / festive</t>
  </si>
  <si>
    <t xml:space="preserve">Hulusi — Bill of Materials</t>
  </si>
  <si>
    <t xml:space="preserve">item_id</t>
  </si>
  <si>
    <t xml:space="preserve">category</t>
  </si>
  <si>
    <t xml:space="preserve">item</t>
  </si>
  <si>
    <t xml:space="preserve">qty</t>
  </si>
  <si>
    <t xml:space="preserve">spec</t>
  </si>
  <si>
    <t xml:space="preserve">make/buy</t>
  </si>
  <si>
    <t xml:space="preserve">est_cost</t>
  </si>
  <si>
    <t xml:space="preserve">supplier_note</t>
  </si>
  <si>
    <t xml:space="preserve">drawing_ref</t>
  </si>
  <si>
    <t xml:space="preserve">HUL-BOM-001</t>
  </si>
  <si>
    <t xml:space="preserve">Gourd</t>
  </si>
  <si>
    <t xml:space="preserve">Gourd wind chest, lathe-turned</t>
  </si>
  <si>
    <t xml:space="preserve">Walnut blank Ø5" × 8" L (per Master_Inputs gourd_*)</t>
  </si>
  <si>
    <t xml:space="preserve">Make</t>
  </si>
  <si>
    <t xml:space="preserve">$15-25</t>
  </si>
  <si>
    <t xml:space="preserve">Local hardwood; or sub dried Lagenaria gourd</t>
  </si>
  <si>
    <t xml:space="preserve">HUL-DRW-001</t>
  </si>
  <si>
    <t xml:space="preserve">HUL-BOM-002</t>
  </si>
  <si>
    <t xml:space="preserve">Tube</t>
  </si>
  <si>
    <t xml:space="preserve">Melody tube blank</t>
  </si>
  <si>
    <t xml:space="preserve">Pakkawood, Ø1" × 18" L</t>
  </si>
  <si>
    <t xml:space="preserve">Buy</t>
  </si>
  <si>
    <t xml:space="preserve">$10-15</t>
  </si>
  <si>
    <t xml:space="preserve">Cousineau / Bell Forest</t>
  </si>
  <si>
    <t xml:space="preserve">HUL-DRW-002</t>
  </si>
  <si>
    <t xml:space="preserve">HUL-BOM-003</t>
  </si>
  <si>
    <t xml:space="preserve">Drone 1 tube blank</t>
  </si>
  <si>
    <t xml:space="preserve">Pakkawood, Ø1" × 14" L</t>
  </si>
  <si>
    <t xml:space="preserve">$8-12</t>
  </si>
  <si>
    <t xml:space="preserve">HUL-BOM-004</t>
  </si>
  <si>
    <t xml:space="preserve">Drone 2 tube blank</t>
  </si>
  <si>
    <t xml:space="preserve">Pakkawood, Ø1" × 10" L</t>
  </si>
  <si>
    <t xml:space="preserve">$6-10</t>
  </si>
  <si>
    <t xml:space="preserve">HUL-BOM-005</t>
  </si>
  <si>
    <t xml:space="preserve">Reed</t>
  </si>
  <si>
    <t xml:space="preserve">Brass shim stock</t>
  </si>
  <si>
    <t xml:space="preserve">C26000 brass, 0.008" × 6" × 12" sheet</t>
  </si>
  <si>
    <t xml:space="preserve">McMaster 9534K27</t>
  </si>
  <si>
    <t xml:space="preserve">HUL-DRW-003</t>
  </si>
  <si>
    <t xml:space="preserve">HUL-BOM-006</t>
  </si>
  <si>
    <t xml:space="preserve">Reed mount</t>
  </si>
  <si>
    <t xml:space="preserve">Reed frame plates (3 ea)</t>
  </si>
  <si>
    <t xml:space="preserve">Brass 0.040" × 0.6" × 1.0"</t>
  </si>
  <si>
    <t xml:space="preserve">$5</t>
  </si>
  <si>
    <t xml:space="preserve">Laser-cut from brass shim scrap</t>
  </si>
  <si>
    <t xml:space="preserve">HUL-BOM-007</t>
  </si>
  <si>
    <t xml:space="preserve">Sealant</t>
  </si>
  <si>
    <t xml:space="preserve">Beeswax (yellow, food-grade)</t>
  </si>
  <si>
    <t xml:space="preserve">1 lb block</t>
  </si>
  <si>
    <t xml:space="preserve">Frontier Natural</t>
  </si>
  <si>
    <t xml:space="preserve">HUL-DRW-004</t>
  </si>
  <si>
    <t xml:space="preserve">HUL-BOM-008</t>
  </si>
  <si>
    <t xml:space="preserve">Pine rosin (for wax mix)</t>
  </si>
  <si>
    <t xml:space="preserve">8 oz</t>
  </si>
  <si>
    <t xml:space="preserve">Luthier supply</t>
  </si>
  <si>
    <t xml:space="preserve">HUL-BOM-009</t>
  </si>
  <si>
    <t xml:space="preserve">Mouthpiece</t>
  </si>
  <si>
    <t xml:space="preserve">Mouthpiece insert</t>
  </si>
  <si>
    <t xml:space="preserve">Boxwood or buffalo horn, Ø0.5" × 1.5" L</t>
  </si>
  <si>
    <t xml:space="preserve">$3-8</t>
  </si>
  <si>
    <t xml:space="preserve">Lathe-turn from offcut</t>
  </si>
  <si>
    <t xml:space="preserve">HUL-DRW-005</t>
  </si>
  <si>
    <t xml:space="preserve">HUL-BOM-010</t>
  </si>
  <si>
    <t xml:space="preserve">Decorative</t>
  </si>
  <si>
    <t xml:space="preserve">Tassel + endcap</t>
  </si>
  <si>
    <t xml:space="preserve">Silk tassel, traditional Dai motif</t>
  </si>
  <si>
    <t xml:space="preserve">$3-6</t>
  </si>
  <si>
    <t xml:space="preserve">Etsy / specialty supplier</t>
  </si>
  <si>
    <t xml:space="preserve">HUL-BOM-011</t>
  </si>
  <si>
    <t xml:space="preserve">Hardware</t>
  </si>
  <si>
    <t xml:space="preserve">Brass binding ring</t>
  </si>
  <si>
    <t xml:space="preserve">Ø1.25" ID brass ring (gourd-to-tubes joint)</t>
  </si>
  <si>
    <t xml:space="preserve">$4-8</t>
  </si>
  <si>
    <t xml:space="preserve">McMaster 9499K201</t>
  </si>
  <si>
    <t xml:space="preserve">HUL-BOM-012</t>
  </si>
  <si>
    <t xml:space="preserve">Tooling</t>
  </si>
  <si>
    <t xml:space="preserve">Reed file set</t>
  </si>
  <si>
    <t xml:space="preserve">Fine needle-file set 6 pcs</t>
  </si>
  <si>
    <t xml:space="preserve">Stewart-MacDonald</t>
  </si>
  <si>
    <t xml:space="preserve">HUL-BOM-013</t>
  </si>
  <si>
    <t xml:space="preserve">Measurement</t>
  </si>
  <si>
    <t xml:space="preserve">Tuner / mic / DAW or hand tuner</t>
  </si>
  <si>
    <t xml:space="preserve">Smartphone Cleartune or chromatic tuner</t>
  </si>
  <si>
    <t xml:space="preserve">Have</t>
  </si>
  <si>
    <t xml:space="preserve">$0-30</t>
  </si>
  <si>
    <t xml:space="preserve">Existing</t>
  </si>
  <si>
    <t xml:space="preserve">HUL-VAL-001</t>
  </si>
  <si>
    <t xml:space="preserve">HUL-BOM-014</t>
  </si>
  <si>
    <t xml:space="preserve">Consumable</t>
  </si>
  <si>
    <t xml:space="preserve">CA glue + accelerator</t>
  </si>
  <si>
    <t xml:space="preserve">Medium CA + spray accelerator</t>
  </si>
  <si>
    <t xml:space="preserve">$8</t>
  </si>
  <si>
    <t xml:space="preserve">Existing shop stock</t>
  </si>
  <si>
    <t xml:space="preserve">Hulusi — Validation Log</t>
  </si>
  <si>
    <t xml:space="preserve">Per-build, per-pipe target/measured/cents-error log.  Feed cents-error back into correction_pct.</t>
  </si>
  <si>
    <t xml:space="preserve">build_id</t>
  </si>
  <si>
    <t xml:space="preserve">stage</t>
  </si>
  <si>
    <t xml:space="preserve">pipe</t>
  </si>
  <si>
    <t xml:space="preserve">condition</t>
  </si>
  <si>
    <t xml:space="preserve">target_note</t>
  </si>
  <si>
    <t xml:space="preserve">target_Hz</t>
  </si>
  <si>
    <t xml:space="preserve">measured_Hz</t>
  </si>
  <si>
    <t xml:space="preserve">cents_error</t>
  </si>
  <si>
    <t xml:space="preserve">wax_added_g</t>
  </si>
  <si>
    <t xml:space="preserve">tongue_filed_in</t>
  </si>
  <si>
    <t xml:space="preserve">action</t>
  </si>
  <si>
    <t xml:space="preserve">result</t>
  </si>
  <si>
    <t xml:space="preserve">notes</t>
  </si>
  <si>
    <t xml:space="preserve">HUL-P0</t>
  </si>
  <si>
    <t xml:space="preserve">reed-coupon</t>
  </si>
  <si>
    <t xml:space="preserve">free</t>
  </si>
  <si>
    <t xml:space="preserve">tonic+pull_down</t>
  </si>
  <si>
    <t xml:space="preserve">file tongue</t>
  </si>
  <si>
    <t xml:space="preserve">verify reed-cut process</t>
  </si>
  <si>
    <t xml:space="preserve">HUL-P1</t>
  </si>
  <si>
    <t xml:space="preserve">single-pipe</t>
  </si>
  <si>
    <t xml:space="preserve">Mel</t>
  </si>
  <si>
    <t xml:space="preserve">all-closed</t>
  </si>
  <si>
    <t xml:space="preserve">tonic</t>
  </si>
  <si>
    <t xml:space="preserve">tune reed</t>
  </si>
  <si>
    <t xml:space="preserve">F-key prototype only</t>
  </si>
  <si>
    <t xml:space="preserve">hole-1</t>
  </si>
  <si>
    <t xml:space="preserve">tonic+2</t>
  </si>
  <si>
    <t xml:space="preserve">HUL-P2</t>
  </si>
  <si>
    <t xml:space="preserve">full-build</t>
  </si>
  <si>
    <t xml:space="preserve">F-key full instrument</t>
  </si>
  <si>
    <t xml:space="preserve">hole-7</t>
  </si>
  <si>
    <t xml:space="preserve">tonic+12</t>
  </si>
  <si>
    <t xml:space="preserve">Dr1</t>
  </si>
  <si>
    <t xml:space="preserve">tonic+5th</t>
  </si>
  <si>
    <t xml:space="preserve">Dr2</t>
  </si>
  <si>
    <t xml:space="preserve">tonic+oct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</si>
</sst>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0"/>
    <numFmt numFmtId="166" formatCode="0.000"/>
    <numFmt numFmtId="167" formatCode="0.00"/>
    <numFmt numFmtId="168" formatCode="0.0000"/>
    <numFmt numFmtId="169" formatCode="0"/>
    <numFmt numFmtId="170" formatCode="0.0"/>
    <numFmt numFmtId="171" formatCode="\+0.0;\-0.0;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b val="true"/>
      <sz val="14"/>
      <name val="DejaVu Sans"/>
      <family val="2"/>
    </font>
    <font>
      <i val="true"/>
      <sz val="11"/>
      <color rgb="FF555555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1"/>
      <color rgb="FF0000FF"/>
      <name val="Arial"/>
      <family val="0"/>
      <charset val="1"/>
    </font>
    <font>
      <sz val="10"/>
      <color rgb="FF666666"/>
      <name val="Consolas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555555"/>
      <name val="Consolas"/>
      <family val="0"/>
      <charset val="1"/>
    </font>
    <font>
      <b val="true"/>
      <sz val="11"/>
      <name val="Arial"/>
      <family val="0"/>
      <charset val="1"/>
    </font>
    <font>
      <sz val="1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8B4513"/>
        <bgColor rgb="FF993366"/>
      </patternFill>
    </fill>
    <fill>
      <patternFill patternType="solid">
        <fgColor rgb="FFD6E4F0"/>
        <bgColor rgb="FFD9D9D9"/>
      </patternFill>
    </fill>
    <fill>
      <patternFill patternType="solid">
        <fgColor rgb="FFC00000"/>
        <bgColor rgb="FF800000"/>
      </patternFill>
    </fill>
    <fill>
      <patternFill patternType="solid">
        <fgColor rgb="FFD9D9D9"/>
        <bgColor rgb="FFD6E4F0"/>
      </patternFill>
    </fill>
    <fill>
      <patternFill patternType="solid">
        <fgColor rgb="FFFFF2CC"/>
        <bgColor rgb="FFE2EFDA"/>
      </patternFill>
    </fill>
    <fill>
      <patternFill patternType="solid">
        <fgColor rgb="FFE2EFDA"/>
        <bgColor rgb="FFD6E4F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1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6E4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8B4513"/>
      <rgbColor rgb="FF993366"/>
      <rgbColor rgb="FF333399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5"/>
    <col collapsed="false" customWidth="true" hidden="false" outlineLevel="0" max="3" min="3" style="0" width="12"/>
    <col collapsed="false" customWidth="true" hidden="false" outlineLevel="0" max="4" min="4" style="0" width="50"/>
  </cols>
  <sheetData>
    <row r="1" customFormat="false" ht="17.9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3"/>
      <c r="C4" s="3"/>
      <c r="D4" s="3"/>
    </row>
    <row r="5" customFormat="false" ht="15" hidden="false" customHeight="false" outlineLevel="0" collapsed="false">
      <c r="A5" s="0" t="s">
        <v>3</v>
      </c>
      <c r="B5" s="4" t="n">
        <v>13552</v>
      </c>
      <c r="C5" s="5" t="s">
        <v>4</v>
      </c>
      <c r="D5" s="2" t="s">
        <v>5</v>
      </c>
    </row>
    <row r="6" customFormat="false" ht="15" hidden="false" customHeight="false" outlineLevel="0" collapsed="false">
      <c r="A6" s="0" t="s">
        <v>6</v>
      </c>
      <c r="B6" s="6" t="n">
        <v>440</v>
      </c>
      <c r="C6" s="5" t="s">
        <v>7</v>
      </c>
      <c r="D6" s="2" t="s">
        <v>8</v>
      </c>
    </row>
    <row r="8" customFormat="false" ht="15" hidden="false" customHeight="false" outlineLevel="0" collapsed="false">
      <c r="A8" s="3" t="s">
        <v>9</v>
      </c>
      <c r="B8" s="3"/>
      <c r="C8" s="3"/>
      <c r="D8" s="3"/>
    </row>
    <row r="9" customFormat="false" ht="15" hidden="false" customHeight="false" outlineLevel="0" collapsed="false">
      <c r="A9" s="0" t="s">
        <v>10</v>
      </c>
      <c r="B9" s="6" t="n">
        <v>65</v>
      </c>
      <c r="C9" s="5" t="s">
        <v>11</v>
      </c>
      <c r="D9" s="2" t="s">
        <v>12</v>
      </c>
    </row>
    <row r="10" customFormat="false" ht="15" hidden="false" customHeight="false" outlineLevel="0" collapsed="false">
      <c r="A10" s="0" t="s">
        <v>13</v>
      </c>
      <c r="B10" s="7" t="n">
        <f aca="false">A4_ref*2^((key_midi-69)/12)</f>
        <v>349.228231433004</v>
      </c>
      <c r="C10" s="5" t="s">
        <v>14</v>
      </c>
      <c r="D10" s="2" t="s">
        <v>15</v>
      </c>
    </row>
    <row r="12" customFormat="false" ht="15" hidden="false" customHeight="false" outlineLevel="0" collapsed="false">
      <c r="A12" s="3" t="s">
        <v>16</v>
      </c>
      <c r="B12" s="3"/>
      <c r="C12" s="3"/>
      <c r="D12" s="3"/>
    </row>
    <row r="13" customFormat="false" ht="15" hidden="false" customHeight="false" outlineLevel="0" collapsed="false">
      <c r="A13" s="0" t="s">
        <v>17</v>
      </c>
      <c r="B13" s="6" t="n">
        <v>25</v>
      </c>
      <c r="C13" s="5" t="s">
        <v>18</v>
      </c>
      <c r="D13" s="2" t="s">
        <v>19</v>
      </c>
    </row>
    <row r="14" customFormat="false" ht="15" hidden="false" customHeight="false" outlineLevel="0" collapsed="false">
      <c r="A14" s="0" t="s">
        <v>20</v>
      </c>
      <c r="B14" s="6" t="n">
        <v>1.1</v>
      </c>
      <c r="C14" s="5" t="s">
        <v>21</v>
      </c>
      <c r="D14" s="2" t="s">
        <v>22</v>
      </c>
    </row>
    <row r="15" customFormat="false" ht="15" hidden="false" customHeight="false" outlineLevel="0" collapsed="false">
      <c r="A15" s="0" t="s">
        <v>23</v>
      </c>
      <c r="B15" s="6" t="n">
        <v>4.5</v>
      </c>
      <c r="C15" s="5" t="s">
        <v>24</v>
      </c>
      <c r="D15" s="2" t="s">
        <v>25</v>
      </c>
    </row>
    <row r="16" customFormat="false" ht="15" hidden="false" customHeight="false" outlineLevel="0" collapsed="false">
      <c r="A16" s="0" t="s">
        <v>26</v>
      </c>
      <c r="B16" s="6" t="n">
        <v>6.5</v>
      </c>
      <c r="C16" s="5" t="s">
        <v>27</v>
      </c>
      <c r="D16" s="2" t="s">
        <v>28</v>
      </c>
    </row>
    <row r="17" customFormat="false" ht="15" hidden="false" customHeight="false" outlineLevel="0" collapsed="false">
      <c r="A17" s="0" t="s">
        <v>29</v>
      </c>
      <c r="B17" s="6" t="n">
        <v>0.2</v>
      </c>
      <c r="C17" s="5" t="s">
        <v>30</v>
      </c>
      <c r="D17" s="2" t="s">
        <v>31</v>
      </c>
    </row>
    <row r="18" customFormat="false" ht="15" hidden="false" customHeight="false" outlineLevel="0" collapsed="false">
      <c r="A18" s="0" t="s">
        <v>32</v>
      </c>
      <c r="B18" s="8" t="s">
        <v>33</v>
      </c>
      <c r="C18" s="5" t="s">
        <v>34</v>
      </c>
      <c r="D18" s="2" t="s">
        <v>35</v>
      </c>
    </row>
    <row r="20" customFormat="false" ht="15" hidden="false" customHeight="false" outlineLevel="0" collapsed="false">
      <c r="A20" s="3" t="s">
        <v>36</v>
      </c>
      <c r="B20" s="3"/>
      <c r="C20" s="3"/>
      <c r="D20" s="3"/>
    </row>
    <row r="21" customFormat="false" ht="15" hidden="false" customHeight="false" outlineLevel="0" collapsed="false">
      <c r="A21" s="0" t="s">
        <v>37</v>
      </c>
      <c r="B21" s="6" t="n">
        <v>0.5</v>
      </c>
      <c r="C21" s="5" t="s">
        <v>38</v>
      </c>
      <c r="D21" s="2" t="s">
        <v>39</v>
      </c>
    </row>
    <row r="22" customFormat="false" ht="15" hidden="false" customHeight="false" outlineLevel="0" collapsed="false">
      <c r="A22" s="0" t="s">
        <v>40</v>
      </c>
      <c r="B22" s="6" t="n">
        <v>0.125</v>
      </c>
      <c r="C22" s="5" t="s">
        <v>41</v>
      </c>
      <c r="D22" s="2" t="s">
        <v>42</v>
      </c>
    </row>
    <row r="23" customFormat="false" ht="15" hidden="false" customHeight="false" outlineLevel="0" collapsed="false">
      <c r="A23" s="0" t="s">
        <v>43</v>
      </c>
      <c r="B23" s="6" t="n">
        <v>0.275</v>
      </c>
      <c r="C23" s="5" t="s">
        <v>44</v>
      </c>
      <c r="D23" s="2" t="s">
        <v>45</v>
      </c>
    </row>
    <row r="24" customFormat="false" ht="15" hidden="false" customHeight="false" outlineLevel="0" collapsed="false">
      <c r="A24" s="0" t="s">
        <v>46</v>
      </c>
      <c r="B24" s="6" t="n">
        <v>7</v>
      </c>
      <c r="C24" s="5" t="s">
        <v>47</v>
      </c>
      <c r="D24" s="2" t="s">
        <v>48</v>
      </c>
    </row>
    <row r="25" customFormat="false" ht="15" hidden="false" customHeight="false" outlineLevel="0" collapsed="false">
      <c r="A25" s="0" t="s">
        <v>49</v>
      </c>
      <c r="B25" s="6" t="n">
        <v>0.5</v>
      </c>
      <c r="C25" s="5" t="s">
        <v>50</v>
      </c>
      <c r="D25" s="2" t="s">
        <v>51</v>
      </c>
    </row>
    <row r="26" customFormat="false" ht="15" hidden="false" customHeight="false" outlineLevel="0" collapsed="false">
      <c r="A26" s="0" t="s">
        <v>52</v>
      </c>
      <c r="B26" s="8" t="s">
        <v>53</v>
      </c>
      <c r="C26" s="5" t="s">
        <v>54</v>
      </c>
      <c r="D26" s="2" t="s">
        <v>55</v>
      </c>
    </row>
    <row r="28" customFormat="false" ht="15" hidden="false" customHeight="false" outlineLevel="0" collapsed="false">
      <c r="A28" s="3" t="s">
        <v>56</v>
      </c>
      <c r="B28" s="3"/>
      <c r="C28" s="3"/>
      <c r="D28" s="3"/>
    </row>
    <row r="29" customFormat="false" ht="15" hidden="false" customHeight="false" outlineLevel="0" collapsed="false">
      <c r="A29" s="0" t="s">
        <v>57</v>
      </c>
      <c r="B29" s="6" t="n">
        <v>0.5</v>
      </c>
      <c r="C29" s="5" t="s">
        <v>58</v>
      </c>
      <c r="D29" s="2" t="s">
        <v>59</v>
      </c>
    </row>
    <row r="30" customFormat="false" ht="15" hidden="false" customHeight="false" outlineLevel="0" collapsed="false">
      <c r="A30" s="0" t="s">
        <v>60</v>
      </c>
      <c r="B30" s="6" t="n">
        <v>7</v>
      </c>
      <c r="C30" s="5" t="s">
        <v>61</v>
      </c>
      <c r="D30" s="2" t="s">
        <v>62</v>
      </c>
    </row>
    <row r="31" customFormat="false" ht="15" hidden="false" customHeight="false" outlineLevel="0" collapsed="false">
      <c r="A31" s="0" t="s">
        <v>63</v>
      </c>
      <c r="B31" s="6" t="n">
        <v>0.5</v>
      </c>
      <c r="C31" s="5" t="s">
        <v>64</v>
      </c>
      <c r="D31" s="2"/>
    </row>
    <row r="33" customFormat="false" ht="15" hidden="false" customHeight="false" outlineLevel="0" collapsed="false">
      <c r="A33" s="3" t="s">
        <v>65</v>
      </c>
      <c r="B33" s="3"/>
      <c r="C33" s="3"/>
      <c r="D33" s="3"/>
    </row>
    <row r="34" customFormat="false" ht="15" hidden="false" customHeight="false" outlineLevel="0" collapsed="false">
      <c r="A34" s="0" t="s">
        <v>66</v>
      </c>
      <c r="B34" s="6" t="n">
        <v>0.5</v>
      </c>
      <c r="C34" s="5" t="s">
        <v>67</v>
      </c>
      <c r="D34" s="2"/>
    </row>
    <row r="35" customFormat="false" ht="15" hidden="false" customHeight="false" outlineLevel="0" collapsed="false">
      <c r="A35" s="0" t="s">
        <v>68</v>
      </c>
      <c r="B35" s="6" t="n">
        <v>12</v>
      </c>
      <c r="C35" s="5" t="s">
        <v>69</v>
      </c>
      <c r="D35" s="2" t="s">
        <v>70</v>
      </c>
    </row>
    <row r="36" customFormat="false" ht="15" hidden="false" customHeight="false" outlineLevel="0" collapsed="false">
      <c r="A36" s="0" t="s">
        <v>71</v>
      </c>
      <c r="B36" s="6" t="n">
        <v>0.5</v>
      </c>
      <c r="C36" s="5" t="s">
        <v>72</v>
      </c>
      <c r="D36" s="2"/>
    </row>
    <row r="38" customFormat="false" ht="15" hidden="false" customHeight="false" outlineLevel="0" collapsed="false">
      <c r="A38" s="3" t="s">
        <v>73</v>
      </c>
      <c r="B38" s="3"/>
      <c r="C38" s="3"/>
      <c r="D38" s="3"/>
    </row>
    <row r="39" customFormat="false" ht="15" hidden="false" customHeight="false" outlineLevel="0" collapsed="false">
      <c r="A39" s="0" t="s">
        <v>74</v>
      </c>
      <c r="B39" s="4" t="n">
        <v>14500000</v>
      </c>
      <c r="C39" s="5" t="s">
        <v>75</v>
      </c>
      <c r="D39" s="2" t="s">
        <v>76</v>
      </c>
    </row>
    <row r="40" customFormat="false" ht="15" hidden="false" customHeight="false" outlineLevel="0" collapsed="false">
      <c r="A40" s="0" t="s">
        <v>77</v>
      </c>
      <c r="B40" s="6" t="n">
        <v>0.307</v>
      </c>
      <c r="C40" s="5" t="s">
        <v>78</v>
      </c>
      <c r="D40" s="2" t="s">
        <v>79</v>
      </c>
    </row>
    <row r="41" customFormat="false" ht="15" hidden="false" customHeight="false" outlineLevel="0" collapsed="false">
      <c r="A41" s="0" t="s">
        <v>80</v>
      </c>
      <c r="B41" s="4" t="n">
        <v>27300</v>
      </c>
      <c r="C41" s="5" t="s">
        <v>81</v>
      </c>
      <c r="D41" s="2" t="s">
        <v>82</v>
      </c>
    </row>
    <row r="42" customFormat="false" ht="15" hidden="false" customHeight="false" outlineLevel="0" collapsed="false">
      <c r="A42" s="0" t="s">
        <v>83</v>
      </c>
      <c r="B42" s="6" t="n">
        <v>0.008</v>
      </c>
      <c r="C42" s="5" t="s">
        <v>84</v>
      </c>
      <c r="D42" s="2" t="s">
        <v>85</v>
      </c>
    </row>
    <row r="43" customFormat="false" ht="15" hidden="false" customHeight="false" outlineLevel="0" collapsed="false">
      <c r="A43" s="0" t="s">
        <v>86</v>
      </c>
      <c r="B43" s="6" t="n">
        <v>0.157</v>
      </c>
      <c r="C43" s="5" t="s">
        <v>87</v>
      </c>
      <c r="D43" s="2" t="s">
        <v>88</v>
      </c>
    </row>
    <row r="44" customFormat="false" ht="15" hidden="false" customHeight="false" outlineLevel="0" collapsed="false">
      <c r="A44" s="0" t="s">
        <v>89</v>
      </c>
      <c r="B44" s="6" t="n">
        <v>0.003</v>
      </c>
      <c r="C44" s="5" t="s">
        <v>90</v>
      </c>
      <c r="D44" s="2" t="s">
        <v>91</v>
      </c>
    </row>
    <row r="45" customFormat="false" ht="15" hidden="false" customHeight="false" outlineLevel="0" collapsed="false">
      <c r="A45" s="0" t="s">
        <v>92</v>
      </c>
      <c r="B45" s="8" t="s">
        <v>93</v>
      </c>
      <c r="C45" s="5" t="s">
        <v>94</v>
      </c>
      <c r="D45" s="2" t="s">
        <v>95</v>
      </c>
    </row>
    <row r="47" customFormat="false" ht="15" hidden="false" customHeight="false" outlineLevel="0" collapsed="false">
      <c r="A47" s="9" t="s">
        <v>96</v>
      </c>
      <c r="B47" s="9"/>
      <c r="C47" s="9"/>
      <c r="D47" s="9"/>
    </row>
    <row r="48" customFormat="false" ht="15" hidden="false" customHeight="false" outlineLevel="0" collapsed="false">
      <c r="A48" s="0" t="s">
        <v>97</v>
      </c>
      <c r="B48" s="6" t="n">
        <v>-30</v>
      </c>
      <c r="C48" s="5" t="s">
        <v>98</v>
      </c>
      <c r="D48" s="2" t="s">
        <v>99</v>
      </c>
    </row>
    <row r="49" customFormat="false" ht="15" hidden="false" customHeight="false" outlineLevel="0" collapsed="false">
      <c r="A49" s="0" t="s">
        <v>100</v>
      </c>
      <c r="B49" s="6" t="n">
        <v>0</v>
      </c>
      <c r="C49" s="5" t="s">
        <v>101</v>
      </c>
      <c r="D49" s="2" t="s">
        <v>102</v>
      </c>
    </row>
    <row r="50" customFormat="false" ht="15" hidden="false" customHeight="false" outlineLevel="0" collapsed="false">
      <c r="A50" s="0" t="s">
        <v>103</v>
      </c>
      <c r="B50" s="6" t="n">
        <v>0.6</v>
      </c>
      <c r="C50" s="5" t="s">
        <v>104</v>
      </c>
      <c r="D50" s="2" t="s">
        <v>105</v>
      </c>
    </row>
  </sheetData>
  <mergeCells count="8">
    <mergeCell ref="A4:D4"/>
    <mergeCell ref="A8:D8"/>
    <mergeCell ref="A12:D12"/>
    <mergeCell ref="A20:D20"/>
    <mergeCell ref="A28:D28"/>
    <mergeCell ref="A33:D33"/>
    <mergeCell ref="A38:D38"/>
    <mergeCell ref="A47:D47"/>
  </mergeCells>
  <dataValidations count="4">
    <dataValidation allowBlank="true" errorStyle="stop" operator="between" showDropDown="false" showErrorMessage="false" showInputMessage="false" sqref="B18" type="list">
      <formula1>"Walnut,Maple,Cherry,Padauk,dried-gourd"</formula1>
      <formula2>0</formula2>
    </dataValidation>
    <dataValidation allowBlank="true" errorStyle="stop" operator="between" showDropDown="false" showErrorMessage="false" showInputMessage="false" sqref="B26" type="list">
      <formula1>"Bamboo,Pakkawood,Maple,Walnut,Padauk"</formula1>
      <formula2>0</formula2>
    </dataValidation>
    <dataValidation allowBlank="true" errorStyle="stop" operator="between" showDropDown="false" showErrorMessage="false" showInputMessage="false" sqref="B45" type="list">
      <formula1>"Brass C26000,Phosphor Bronze,Beryllium Copper"</formula1>
      <formula2>0</formula2>
    </dataValidation>
    <dataValidation allowBlank="true" errorStyle="stop" operator="between" showDropDown="false" showErrorMessage="false" showInputMessage="false" sqref="B9" type="list">
      <formula1>"58,60,62,65,67"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18"/>
    <col collapsed="false" customWidth="true" hidden="false" outlineLevel="0" max="3" min="3" style="0" width="60"/>
  </cols>
  <sheetData>
    <row r="1" customFormat="false" ht="17.35" hidden="false" customHeight="false" outlineLevel="0" collapsed="false">
      <c r="A1" s="1" t="s">
        <v>106</v>
      </c>
    </row>
    <row r="2" customFormat="false" ht="15" hidden="false" customHeight="false" outlineLevel="0" collapsed="false">
      <c r="A2" s="2" t="s">
        <v>107</v>
      </c>
    </row>
    <row r="4" customFormat="false" ht="15" hidden="false" customHeight="false" outlineLevel="0" collapsed="false">
      <c r="A4" s="9" t="s">
        <v>108</v>
      </c>
      <c r="B4" s="9"/>
      <c r="C4" s="9"/>
    </row>
    <row r="5" customFormat="false" ht="15" hidden="false" customHeight="false" outlineLevel="0" collapsed="false">
      <c r="A5" s="10" t="s">
        <v>109</v>
      </c>
      <c r="B5" s="10" t="s">
        <v>110</v>
      </c>
      <c r="C5" s="10" t="s">
        <v>111</v>
      </c>
    </row>
    <row r="6" customFormat="false" ht="15" hidden="false" customHeight="false" outlineLevel="0" collapsed="false">
      <c r="A6" s="0" t="s">
        <v>112</v>
      </c>
      <c r="B6" s="11" t="n">
        <f aca="false">mel_bore_ID/2</f>
        <v>0.25</v>
      </c>
      <c r="C6" s="2" t="s">
        <v>113</v>
      </c>
    </row>
    <row r="7" customFormat="false" ht="15" hidden="false" customHeight="false" outlineLevel="0" collapsed="false">
      <c r="A7" s="0" t="s">
        <v>114</v>
      </c>
      <c r="B7" s="11" t="n">
        <f aca="false">end_corr_k*(mel_bore_ID/2)</f>
        <v>0.15</v>
      </c>
      <c r="C7" s="2" t="s">
        <v>115</v>
      </c>
    </row>
    <row r="8" customFormat="false" ht="15" hidden="false" customHeight="false" outlineLevel="0" collapsed="false">
      <c r="A8" s="0" t="s">
        <v>116</v>
      </c>
      <c r="B8" s="11" t="n">
        <f aca="false">c_speed/(4*f_tonic)</f>
        <v>9.70139208419052</v>
      </c>
      <c r="C8" s="2" t="s">
        <v>117</v>
      </c>
    </row>
    <row r="9" customFormat="false" ht="15" hidden="false" customHeight="false" outlineLevel="0" collapsed="false">
      <c r="A9" s="0" t="s">
        <v>118</v>
      </c>
      <c r="B9" s="11" t="n">
        <f aca="false">c_speed/(4*f_tonic) - end_corr_k*(mel_bore_ID/2)</f>
        <v>9.55139208419052</v>
      </c>
      <c r="C9" s="2" t="s">
        <v>119</v>
      </c>
    </row>
    <row r="10" customFormat="false" ht="15" hidden="false" customHeight="false" outlineLevel="0" collapsed="false">
      <c r="A10" s="0" t="s">
        <v>120</v>
      </c>
      <c r="B10" s="11" t="n">
        <f aca="false">(c_speed/(4*f_tonic) - end_corr_k*(mel_bore_ID/2))*(1+correction_pct/100) + mel_reed_pad</f>
        <v>10.0513920841905</v>
      </c>
      <c r="C10" s="2" t="s">
        <v>121</v>
      </c>
    </row>
    <row r="12" customFormat="false" ht="15" hidden="false" customHeight="false" outlineLevel="0" collapsed="false">
      <c r="A12" s="9" t="s">
        <v>122</v>
      </c>
      <c r="B12" s="9"/>
      <c r="C12" s="9"/>
    </row>
    <row r="13" customFormat="false" ht="15" hidden="false" customHeight="false" outlineLevel="0" collapsed="false">
      <c r="A13" s="0" t="s">
        <v>123</v>
      </c>
      <c r="B13" s="12" t="n">
        <f aca="false">SQRT(reed_K_imperial*reed_thickness/(f_tonic*2^(pull_down_cents/1200)))</f>
        <v>0.797690683233179</v>
      </c>
      <c r="C13" s="2" t="s">
        <v>124</v>
      </c>
    </row>
    <row r="14" customFormat="false" ht="15" hidden="false" customHeight="false" outlineLevel="0" collapsed="false">
      <c r="A14" s="0" t="s">
        <v>125</v>
      </c>
      <c r="B14" s="7" t="n">
        <f aca="false">reed_K_imperial*reed_thickness/L_tongue_tonic^2</f>
        <v>343.228699445884</v>
      </c>
      <c r="C14" s="2" t="s">
        <v>126</v>
      </c>
    </row>
    <row r="16" customFormat="false" ht="15" hidden="false" customHeight="false" outlineLevel="0" collapsed="false">
      <c r="A16" s="9" t="s">
        <v>127</v>
      </c>
      <c r="B16" s="9"/>
      <c r="C16" s="9"/>
    </row>
    <row r="17" customFormat="false" ht="15" hidden="false" customHeight="false" outlineLevel="0" collapsed="false">
      <c r="A17" s="0" t="s">
        <v>128</v>
      </c>
      <c r="B17" s="13" t="s">
        <v>129</v>
      </c>
      <c r="C17" s="2" t="s">
        <v>130</v>
      </c>
    </row>
  </sheetData>
  <mergeCells count="3">
    <mergeCell ref="A4:C4"/>
    <mergeCell ref="A12:C12"/>
    <mergeCell ref="A16:C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6" min="2" style="0" width="14"/>
    <col collapsed="false" customWidth="true" hidden="false" outlineLevel="0" max="7" min="7" style="0" width="30"/>
  </cols>
  <sheetData>
    <row r="1" customFormat="false" ht="17.35" hidden="false" customHeight="false" outlineLevel="0" collapsed="false">
      <c r="A1" s="1" t="s">
        <v>131</v>
      </c>
    </row>
    <row r="2" customFormat="false" ht="15" hidden="false" customHeight="false" outlineLevel="0" collapsed="false">
      <c r="A2" s="2" t="s">
        <v>132</v>
      </c>
    </row>
    <row r="4" customFormat="false" ht="15" hidden="false" customHeight="false" outlineLevel="0" collapsed="false">
      <c r="A4" s="14" t="s">
        <v>109</v>
      </c>
      <c r="B4" s="14" t="s">
        <v>133</v>
      </c>
      <c r="C4" s="14" t="s">
        <v>134</v>
      </c>
      <c r="D4" s="14" t="s">
        <v>135</v>
      </c>
      <c r="G4" s="14" t="s">
        <v>111</v>
      </c>
    </row>
    <row r="5" customFormat="false" ht="15" hidden="false" customHeight="false" outlineLevel="0" collapsed="false">
      <c r="A5" s="0" t="s">
        <v>136</v>
      </c>
      <c r="B5" s="15" t="n">
        <f aca="false">0</f>
        <v>0</v>
      </c>
      <c r="C5" s="15" t="n">
        <f aca="false">dr1_target_offset</f>
        <v>7</v>
      </c>
      <c r="D5" s="15" t="n">
        <f aca="false">dr2_target_offset</f>
        <v>12</v>
      </c>
      <c r="G5" s="2" t="s">
        <v>137</v>
      </c>
    </row>
    <row r="6" customFormat="false" ht="15" hidden="false" customHeight="false" outlineLevel="0" collapsed="false">
      <c r="A6" s="0" t="s">
        <v>138</v>
      </c>
      <c r="B6" s="15" t="n">
        <f aca="false">key_midi</f>
        <v>65</v>
      </c>
      <c r="C6" s="15" t="n">
        <f aca="false">key_midi+dr1_target_offset</f>
        <v>72</v>
      </c>
      <c r="D6" s="15" t="n">
        <f aca="false">key_midi+dr2_target_offset</f>
        <v>77</v>
      </c>
      <c r="G6" s="2"/>
    </row>
    <row r="7" customFormat="false" ht="15" hidden="false" customHeight="false" outlineLevel="0" collapsed="false">
      <c r="A7" s="0" t="s">
        <v>139</v>
      </c>
      <c r="B7" s="7" t="n">
        <f aca="false">A4_ref*2^((B6-69)/12)</f>
        <v>349.228231433004</v>
      </c>
      <c r="C7" s="7" t="n">
        <f aca="false">A4_ref*2^((C6-69)/12)</f>
        <v>523.251130601197</v>
      </c>
      <c r="D7" s="7" t="n">
        <f aca="false">A4_ref*2^((D6-69)/12)</f>
        <v>698.456462866008</v>
      </c>
      <c r="G7" s="2" t="s">
        <v>140</v>
      </c>
    </row>
    <row r="8" customFormat="false" ht="15" hidden="false" customHeight="false" outlineLevel="0" collapsed="false">
      <c r="A8" s="0" t="s">
        <v>141</v>
      </c>
      <c r="B8" s="11" t="n">
        <f aca="false">mel_bore_ID</f>
        <v>0.5</v>
      </c>
      <c r="C8" s="11" t="n">
        <f aca="false">dr1_bore_ID</f>
        <v>0.5</v>
      </c>
      <c r="D8" s="11" t="n">
        <f aca="false">dr2_bore_ID</f>
        <v>0.5</v>
      </c>
      <c r="G8" s="2" t="s">
        <v>142</v>
      </c>
    </row>
    <row r="9" customFormat="false" ht="15" hidden="false" customHeight="false" outlineLevel="0" collapsed="false">
      <c r="A9" s="0" t="s">
        <v>143</v>
      </c>
      <c r="B9" s="11" t="n">
        <f aca="false">end_corr_k*B8/2</f>
        <v>0.15</v>
      </c>
      <c r="C9" s="11" t="n">
        <f aca="false">end_corr_k*C8/2</f>
        <v>0.15</v>
      </c>
      <c r="D9" s="11" t="n">
        <f aca="false">end_corr_k*D8/2</f>
        <v>0.15</v>
      </c>
      <c r="G9" s="2" t="s">
        <v>144</v>
      </c>
    </row>
    <row r="10" customFormat="false" ht="15" hidden="false" customHeight="false" outlineLevel="0" collapsed="false">
      <c r="A10" s="0" t="s">
        <v>145</v>
      </c>
      <c r="B10" s="11" t="n">
        <f aca="false">c_speed/(4*B7)</f>
        <v>9.70139208419052</v>
      </c>
      <c r="C10" s="11" t="n">
        <f aca="false">c_speed/(4*C7)</f>
        <v>6.4749023974536</v>
      </c>
      <c r="D10" s="11" t="n">
        <f aca="false">c_speed/(4*D7)</f>
        <v>4.85069604209526</v>
      </c>
      <c r="G10" s="2" t="s">
        <v>146</v>
      </c>
    </row>
    <row r="11" customFormat="false" ht="15" hidden="false" customHeight="false" outlineLevel="0" collapsed="false">
      <c r="A11" s="0" t="s">
        <v>147</v>
      </c>
      <c r="B11" s="11" t="n">
        <f aca="false">B10-B9</f>
        <v>9.55139208419052</v>
      </c>
      <c r="C11" s="11" t="n">
        <f aca="false">C10-C9</f>
        <v>6.3249023974536</v>
      </c>
      <c r="D11" s="11" t="n">
        <f aca="false">D10-D9</f>
        <v>4.70069604209526</v>
      </c>
      <c r="G11" s="2" t="s">
        <v>148</v>
      </c>
    </row>
    <row r="12" customFormat="false" ht="15" hidden="false" customHeight="false" outlineLevel="0" collapsed="false">
      <c r="A12" s="0" t="s">
        <v>149</v>
      </c>
      <c r="B12" s="16" t="n">
        <f aca="false">correction_pct</f>
        <v>0</v>
      </c>
      <c r="C12" s="16" t="n">
        <f aca="false">correction_pct</f>
        <v>0</v>
      </c>
      <c r="D12" s="16" t="n">
        <f aca="false">correction_pct</f>
        <v>0</v>
      </c>
      <c r="G12" s="2" t="s">
        <v>150</v>
      </c>
    </row>
    <row r="13" customFormat="false" ht="15" hidden="false" customHeight="false" outlineLevel="0" collapsed="false">
      <c r="A13" s="0" t="s">
        <v>151</v>
      </c>
      <c r="B13" s="11" t="n">
        <f aca="false">B11*(1+B12/100)</f>
        <v>9.55139208419052</v>
      </c>
      <c r="C13" s="11" t="n">
        <f aca="false">C11*(1+C12/100)</f>
        <v>6.3249023974536</v>
      </c>
      <c r="D13" s="11" t="n">
        <f aca="false">D11*(1+D12/100)</f>
        <v>4.70069604209526</v>
      </c>
      <c r="G13" s="2" t="s">
        <v>152</v>
      </c>
    </row>
    <row r="14" customFormat="false" ht="15" hidden="false" customHeight="false" outlineLevel="0" collapsed="false">
      <c r="A14" s="0" t="s">
        <v>49</v>
      </c>
      <c r="B14" s="11" t="n">
        <f aca="false">mel_reed_pad</f>
        <v>0.5</v>
      </c>
      <c r="C14" s="11" t="n">
        <f aca="false">dr1_reed_pad</f>
        <v>0.5</v>
      </c>
      <c r="D14" s="11" t="n">
        <f aca="false">dr2_reed_pad</f>
        <v>0.5</v>
      </c>
      <c r="G14" s="2" t="s">
        <v>153</v>
      </c>
    </row>
    <row r="15" customFormat="false" ht="15" hidden="false" customHeight="false" outlineLevel="0" collapsed="false">
      <c r="A15" s="0" t="s">
        <v>154</v>
      </c>
      <c r="B15" s="17" t="n">
        <f aca="false">B13+B14</f>
        <v>10.0513920841905</v>
      </c>
      <c r="C15" s="17" t="n">
        <f aca="false">C13+C14</f>
        <v>6.8249023974536</v>
      </c>
      <c r="D15" s="17" t="n">
        <f aca="false">D13+D14</f>
        <v>5.20069604209526</v>
      </c>
      <c r="G15" s="2" t="s">
        <v>155</v>
      </c>
    </row>
    <row r="17" customFormat="false" ht="15" hidden="false" customHeight="false" outlineLevel="0" collapsed="false">
      <c r="A17" s="9" t="s">
        <v>156</v>
      </c>
      <c r="B17" s="9"/>
      <c r="C17" s="9"/>
      <c r="D17" s="9"/>
      <c r="E17" s="9"/>
      <c r="F17" s="9"/>
      <c r="G17" s="9"/>
    </row>
    <row r="18" customFormat="false" ht="15" hidden="false" customHeight="false" outlineLevel="0" collapsed="false">
      <c r="A18" s="0" t="s">
        <v>157</v>
      </c>
      <c r="B18" s="7" t="n">
        <f aca="false">B7*2^(pull_down_cents/1200)</f>
        <v>343.228699445884</v>
      </c>
      <c r="C18" s="7" t="n">
        <f aca="false">C7*2^(pull_down_cents/1200)</f>
        <v>514.261989366948</v>
      </c>
      <c r="D18" s="7" t="n">
        <f aca="false">D7*2^(pull_down_cents/1200)</f>
        <v>686.457398891769</v>
      </c>
      <c r="G18" s="2" t="s">
        <v>158</v>
      </c>
    </row>
    <row r="19" customFormat="false" ht="15" hidden="false" customHeight="false" outlineLevel="0" collapsed="false">
      <c r="A19" s="0" t="s">
        <v>159</v>
      </c>
      <c r="B19" s="12" t="n">
        <f aca="false">SQRT(reed_K_imperial*reed_thickness/B18)</f>
        <v>0.797690683233179</v>
      </c>
      <c r="C19" s="12" t="n">
        <f aca="false">SQRT(reed_K_imperial*reed_thickness/C18)</f>
        <v>0.651679567120571</v>
      </c>
      <c r="D19" s="12" t="n">
        <f aca="false">SQRT(reed_K_imperial*reed_thickness/D18)</f>
        <v>0.564052491403511</v>
      </c>
      <c r="G19" s="2" t="s">
        <v>160</v>
      </c>
    </row>
    <row r="20" customFormat="false" ht="15" hidden="false" customHeight="false" outlineLevel="0" collapsed="false">
      <c r="A20" s="0" t="s">
        <v>86</v>
      </c>
      <c r="B20" s="11" t="n">
        <f aca="false">reed_tongue_w</f>
        <v>0.157</v>
      </c>
      <c r="C20" s="11" t="n">
        <f aca="false">reed_tongue_w</f>
        <v>0.157</v>
      </c>
      <c r="D20" s="11" t="n">
        <f aca="false">reed_tongue_w</f>
        <v>0.157</v>
      </c>
      <c r="G20" s="2" t="s">
        <v>161</v>
      </c>
    </row>
    <row r="21" customFormat="false" ht="15" hidden="false" customHeight="false" outlineLevel="0" collapsed="false">
      <c r="A21" s="0" t="s">
        <v>162</v>
      </c>
      <c r="B21" s="12" t="n">
        <f aca="false">reed_tongue_w+2*reed_slot_clear</f>
        <v>0.163</v>
      </c>
      <c r="C21" s="12" t="n">
        <f aca="false">reed_tongue_w+2*reed_slot_clear</f>
        <v>0.163</v>
      </c>
      <c r="D21" s="12" t="n">
        <f aca="false">reed_tongue_w+2*reed_slot_clear</f>
        <v>0.163</v>
      </c>
      <c r="G21" s="2" t="s">
        <v>163</v>
      </c>
    </row>
  </sheetData>
  <mergeCells count="1">
    <mergeCell ref="A17:G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8"/>
    <col collapsed="false" customWidth="true" hidden="false" outlineLevel="0" max="6" min="3" style="0" width="14"/>
    <col collapsed="false" customWidth="true" hidden="false" outlineLevel="0" max="7" min="7" style="0" width="36"/>
  </cols>
  <sheetData>
    <row r="1" customFormat="false" ht="17.35" hidden="false" customHeight="false" outlineLevel="0" collapsed="false">
      <c r="A1" s="1" t="s">
        <v>164</v>
      </c>
    </row>
    <row r="2" customFormat="false" ht="15" hidden="false" customHeight="false" outlineLevel="0" collapsed="false">
      <c r="A2" s="2" t="s">
        <v>165</v>
      </c>
    </row>
    <row r="3" customFormat="false" ht="15" hidden="false" customHeight="false" outlineLevel="0" collapsed="false">
      <c r="A3" s="2" t="s">
        <v>166</v>
      </c>
    </row>
    <row r="5" customFormat="false" ht="15" hidden="false" customHeight="false" outlineLevel="0" collapsed="false">
      <c r="A5" s="14" t="s">
        <v>167</v>
      </c>
      <c r="B5" s="14" t="s">
        <v>168</v>
      </c>
      <c r="C5" s="14" t="s">
        <v>169</v>
      </c>
      <c r="D5" s="14" t="s">
        <v>170</v>
      </c>
      <c r="E5" s="14" t="s">
        <v>171</v>
      </c>
      <c r="F5" s="14" t="s">
        <v>172</v>
      </c>
      <c r="G5" s="14" t="s">
        <v>111</v>
      </c>
    </row>
    <row r="6" customFormat="false" ht="15" hidden="false" customHeight="false" outlineLevel="0" collapsed="false">
      <c r="A6" s="18" t="n">
        <v>1</v>
      </c>
      <c r="B6" s="18" t="s">
        <v>173</v>
      </c>
      <c r="C6" s="8" t="n">
        <v>2</v>
      </c>
      <c r="D6" s="7" t="n">
        <f aca="false">f_tonic*2^(C6/12)</f>
        <v>391.995435981749</v>
      </c>
      <c r="E6" s="11" t="n">
        <f aca="false">Pipes!$B$11*(f_tonic/D6)</f>
        <v>8.50932296426112</v>
      </c>
      <c r="F6" s="11" t="n">
        <f aca="false">mel_hole_dia</f>
        <v>0.275</v>
      </c>
      <c r="G6" s="2" t="s">
        <v>174</v>
      </c>
    </row>
    <row r="7" customFormat="false" ht="15" hidden="false" customHeight="false" outlineLevel="0" collapsed="false">
      <c r="A7" s="18" t="n">
        <v>2</v>
      </c>
      <c r="B7" s="18" t="s">
        <v>175</v>
      </c>
      <c r="C7" s="8" t="n">
        <v>4</v>
      </c>
      <c r="D7" s="7" t="n">
        <f aca="false">f_tonic*2^(C7/12)</f>
        <v>440</v>
      </c>
      <c r="E7" s="11" t="n">
        <f aca="false">Pipes!$B$11*(f_tonic/D7)</f>
        <v>7.58094492110239</v>
      </c>
      <c r="F7" s="11" t="n">
        <f aca="false">mel_hole_dia</f>
        <v>0.275</v>
      </c>
      <c r="G7" s="2"/>
    </row>
    <row r="8" customFormat="false" ht="15" hidden="false" customHeight="false" outlineLevel="0" collapsed="false">
      <c r="A8" s="18" t="n">
        <v>3</v>
      </c>
      <c r="B8" s="18" t="s">
        <v>176</v>
      </c>
      <c r="C8" s="8" t="n">
        <v>5</v>
      </c>
      <c r="D8" s="7" t="n">
        <f aca="false">f_tonic*2^(C8/12)</f>
        <v>466.16376151809</v>
      </c>
      <c r="E8" s="11" t="n">
        <f aca="false">Pipes!$B$11*(f_tonic/D8)</f>
        <v>7.15545917688329</v>
      </c>
      <c r="F8" s="11" t="n">
        <f aca="false">mel_hole_dia</f>
        <v>0.275</v>
      </c>
      <c r="G8" s="2"/>
    </row>
    <row r="9" customFormat="false" ht="15" hidden="false" customHeight="false" outlineLevel="0" collapsed="false">
      <c r="A9" s="18" t="n">
        <v>4</v>
      </c>
      <c r="B9" s="18" t="s">
        <v>177</v>
      </c>
      <c r="C9" s="8" t="n">
        <v>7</v>
      </c>
      <c r="D9" s="7" t="n">
        <f aca="false">f_tonic*2^(C9/12)</f>
        <v>523.251130601197</v>
      </c>
      <c r="E9" s="11" t="n">
        <f aca="false">Pipes!$B$11*(f_tonic/D9)</f>
        <v>6.37478940839085</v>
      </c>
      <c r="F9" s="11" t="n">
        <f aca="false">mel_hole_dia</f>
        <v>0.275</v>
      </c>
      <c r="G9" s="2" t="s">
        <v>178</v>
      </c>
    </row>
    <row r="10" customFormat="false" ht="15" hidden="false" customHeight="false" outlineLevel="0" collapsed="false">
      <c r="A10" s="18" t="n">
        <v>5</v>
      </c>
      <c r="B10" s="18" t="s">
        <v>179</v>
      </c>
      <c r="C10" s="8" t="n">
        <v>9</v>
      </c>
      <c r="D10" s="7" t="n">
        <f aca="false">f_tonic*2^(C10/12)</f>
        <v>587.329535834815</v>
      </c>
      <c r="E10" s="11" t="n">
        <f aca="false">Pipes!$B$11*(f_tonic/D10)</f>
        <v>5.67929171235002</v>
      </c>
      <c r="F10" s="11" t="n">
        <f aca="false">mel_hole_dia</f>
        <v>0.275</v>
      </c>
      <c r="G10" s="2"/>
    </row>
    <row r="11" customFormat="false" ht="15" hidden="false" customHeight="false" outlineLevel="0" collapsed="false">
      <c r="A11" s="18" t="n">
        <v>6</v>
      </c>
      <c r="B11" s="18" t="s">
        <v>180</v>
      </c>
      <c r="C11" s="8" t="n">
        <v>11</v>
      </c>
      <c r="D11" s="7" t="n">
        <f aca="false">f_tonic*2^(C11/12)</f>
        <v>659.25511382574</v>
      </c>
      <c r="E11" s="11" t="n">
        <f aca="false">Pipes!$B$11*(f_tonic/D11)</f>
        <v>5.05967370647769</v>
      </c>
      <c r="F11" s="11" t="n">
        <f aca="false">mel_hole_dia</f>
        <v>0.275</v>
      </c>
      <c r="G11" s="2"/>
    </row>
    <row r="12" customFormat="false" ht="15" hidden="false" customHeight="false" outlineLevel="0" collapsed="false">
      <c r="A12" s="18" t="n">
        <v>7</v>
      </c>
      <c r="B12" s="18" t="s">
        <v>181</v>
      </c>
      <c r="C12" s="8" t="n">
        <v>12</v>
      </c>
      <c r="D12" s="7" t="n">
        <f aca="false">f_tonic*2^(C12/12)</f>
        <v>698.456462866008</v>
      </c>
      <c r="E12" s="11" t="n">
        <f aca="false">Pipes!$B$11*(f_tonic/D12)</f>
        <v>4.77569604209526</v>
      </c>
      <c r="F12" s="11" t="n">
        <f aca="false">mel_hole_dia</f>
        <v>0.275</v>
      </c>
      <c r="G12" s="2" t="s">
        <v>182</v>
      </c>
    </row>
    <row r="14" customFormat="false" ht="15" hidden="false" customHeight="false" outlineLevel="0" collapsed="false">
      <c r="A14" s="19" t="s">
        <v>183</v>
      </c>
      <c r="B14" s="19" t="s">
        <v>184</v>
      </c>
      <c r="C14" s="20" t="n">
        <v>0</v>
      </c>
      <c r="D14" s="21" t="n">
        <f aca="false">f_tonic</f>
        <v>349.228231433004</v>
      </c>
      <c r="E14" s="22" t="n">
        <f aca="false">Pipes!$B$11</f>
        <v>9.55139208419052</v>
      </c>
      <c r="F14" s="19"/>
      <c r="G14" s="23" t="s">
        <v>185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8"/>
    <col collapsed="false" customWidth="true" hidden="false" outlineLevel="0" max="3" min="3" style="0" width="10"/>
    <col collapsed="false" customWidth="true" hidden="false" outlineLevel="0" max="7" min="4" style="0" width="12"/>
    <col collapsed="false" customWidth="true" hidden="false" outlineLevel="0" max="9" min="8" style="0" width="14"/>
    <col collapsed="false" customWidth="true" hidden="false" outlineLevel="0" max="10" min="10" style="0" width="28"/>
  </cols>
  <sheetData>
    <row r="1" customFormat="false" ht="17.35" hidden="false" customHeight="false" outlineLevel="0" collapsed="false">
      <c r="A1" s="1" t="s">
        <v>186</v>
      </c>
    </row>
    <row r="2" customFormat="false" ht="15" hidden="false" customHeight="false" outlineLevel="0" collapsed="false">
      <c r="A2" s="2" t="s">
        <v>187</v>
      </c>
    </row>
    <row r="4" customFormat="false" ht="15" hidden="false" customHeight="false" outlineLevel="0" collapsed="false">
      <c r="A4" s="14" t="s">
        <v>188</v>
      </c>
      <c r="B4" s="14" t="s">
        <v>189</v>
      </c>
      <c r="C4" s="14" t="s">
        <v>190</v>
      </c>
      <c r="D4" s="14" t="s">
        <v>191</v>
      </c>
      <c r="E4" s="14" t="s">
        <v>192</v>
      </c>
      <c r="F4" s="14" t="s">
        <v>193</v>
      </c>
      <c r="G4" s="14" t="s">
        <v>194</v>
      </c>
      <c r="H4" s="14" t="s">
        <v>195</v>
      </c>
      <c r="I4" s="14" t="s">
        <v>196</v>
      </c>
      <c r="J4" s="14" t="s">
        <v>197</v>
      </c>
    </row>
    <row r="5" customFormat="false" ht="15" hidden="false" customHeight="false" outlineLevel="0" collapsed="false">
      <c r="A5" s="0" t="s">
        <v>198</v>
      </c>
      <c r="B5" s="0" t="s">
        <v>199</v>
      </c>
      <c r="C5" s="18" t="n">
        <v>58</v>
      </c>
      <c r="D5" s="7" t="n">
        <f aca="false">A4_ref*2^((C5-69)/12)</f>
        <v>233.081880759045</v>
      </c>
      <c r="E5" s="7" t="n">
        <f aca="false">(c_speed/(4*D5) - end_corr_k*mel_bore_ID/2)*(1+correction_pct/100)+mel_reed_pad</f>
        <v>14.8856644152981</v>
      </c>
      <c r="F5" s="7" t="n">
        <f aca="false">(c_speed/(4*(D5*2^(dr1_target_offset/12))) - end_corr_k*dr1_bore_ID/2)*(1+correction_pct/100)+dr1_reed_pad</f>
        <v>10.0513920841905</v>
      </c>
      <c r="G5" s="7" t="n">
        <f aca="false">(c_speed/(4*(D5*2^(dr2_target_offset/12))) - end_corr_k*dr2_bore_ID/2)*(1+correction_pct/100)+dr2_reed_pad</f>
        <v>7.61783220764904</v>
      </c>
      <c r="H5" s="12" t="n">
        <f aca="false">SQRT(reed_K_imperial*reed_thickness/(D5*2^(pull_down_cents/1200)))</f>
        <v>0.976416107272684</v>
      </c>
      <c r="I5" s="12" t="n">
        <f aca="false">SQRT(reed_K_imperial*reed_thickness/(D5*2^(dr1_target_offset/12)*2^(pull_down_cents/1200)))</f>
        <v>0.797690683233179</v>
      </c>
      <c r="J5" s="2" t="s">
        <v>200</v>
      </c>
    </row>
    <row r="6" customFormat="false" ht="15" hidden="false" customHeight="false" outlineLevel="0" collapsed="false">
      <c r="A6" s="0" t="s">
        <v>201</v>
      </c>
      <c r="B6" s="0" t="s">
        <v>202</v>
      </c>
      <c r="C6" s="18" t="n">
        <v>60</v>
      </c>
      <c r="D6" s="7" t="n">
        <f aca="false">A4_ref*2^((C6-69)/12)</f>
        <v>261.625565300599</v>
      </c>
      <c r="E6" s="7" t="n">
        <f aca="false">(c_speed/(4*D6) - end_corr_k*mel_bore_ID/2)*(1+correction_pct/100)+mel_reed_pad</f>
        <v>13.2998047949072</v>
      </c>
      <c r="F6" s="7" t="n">
        <f aca="false">(c_speed/(4*(D6*2^(dr1_target_offset/12))) - end_corr_k*dr1_bore_ID/2)*(1+correction_pct/100)+dr1_reed_pad</f>
        <v>8.99295777198217</v>
      </c>
      <c r="G6" s="7" t="n">
        <f aca="false">(c_speed/(4*(D6*2^(dr2_target_offset/12))) - end_corr_k*dr2_bore_ID/2)*(1+correction_pct/100)+dr2_reed_pad</f>
        <v>6.8249023974536</v>
      </c>
      <c r="H6" s="12" t="n">
        <f aca="false">SQRT(reed_K_imperial*reed_thickness/(D6*2^(pull_down_cents/1200)))</f>
        <v>0.92161408214334</v>
      </c>
      <c r="I6" s="12" t="n">
        <f aca="false">SQRT(reed_K_imperial*reed_thickness/(D6*2^(dr1_target_offset/12)*2^(pull_down_cents/1200)))</f>
        <v>0.752919745369308</v>
      </c>
      <c r="J6" s="2" t="s">
        <v>203</v>
      </c>
    </row>
    <row r="7" customFormat="false" ht="15" hidden="false" customHeight="false" outlineLevel="0" collapsed="false">
      <c r="A7" s="0" t="s">
        <v>204</v>
      </c>
      <c r="B7" s="0" t="s">
        <v>205</v>
      </c>
      <c r="C7" s="18" t="n">
        <v>62</v>
      </c>
      <c r="D7" s="7" t="n">
        <f aca="false">A4_ref*2^((C7-69)/12)</f>
        <v>293.664767917408</v>
      </c>
      <c r="E7" s="7" t="n">
        <f aca="false">(c_speed/(4*D7) - end_corr_k*mel_bore_ID/2)*(1+correction_pct/100)+mel_reed_pad</f>
        <v>11.8869644919504</v>
      </c>
      <c r="F7" s="7" t="n">
        <f aca="false">(c_speed/(4*(D7*2^(dr1_target_offset/12))) - end_corr_k*dr1_bore_ID/2)*(1+correction_pct/100)+dr1_reed_pad</f>
        <v>8.05</v>
      </c>
      <c r="G7" s="7" t="n">
        <f aca="false">(c_speed/(4*(D7*2^(dr2_target_offset/12))) - end_corr_k*dr2_bore_ID/2)*(1+correction_pct/100)+dr2_reed_pad</f>
        <v>6.11848224597522</v>
      </c>
      <c r="H7" s="12" t="n">
        <f aca="false">SQRT(reed_K_imperial*reed_thickness/(D7*2^(pull_down_cents/1200)))</f>
        <v>0.869887858340815</v>
      </c>
      <c r="I7" s="12" t="n">
        <f aca="false">SQRT(reed_K_imperial*reed_thickness/(D7*2^(dr1_target_offset/12)*2^(pull_down_cents/1200)))</f>
        <v>0.710661607164931</v>
      </c>
      <c r="J7" s="2" t="s">
        <v>206</v>
      </c>
    </row>
    <row r="8" customFormat="false" ht="15" hidden="false" customHeight="false" outlineLevel="0" collapsed="false">
      <c r="A8" s="24" t="s">
        <v>207</v>
      </c>
      <c r="B8" s="24" t="s">
        <v>208</v>
      </c>
      <c r="C8" s="25" t="n">
        <v>65</v>
      </c>
      <c r="D8" s="26" t="n">
        <f aca="false">A4_ref*2^((C8-69)/12)</f>
        <v>349.228231433004</v>
      </c>
      <c r="E8" s="26" t="n">
        <f aca="false">(c_speed/(4*D8) - end_corr_k*mel_bore_ID/2)*(1+correction_pct/100)+mel_reed_pad</f>
        <v>10.0513920841905</v>
      </c>
      <c r="F8" s="26" t="n">
        <f aca="false">(c_speed/(4*(D8*2^(dr1_target_offset/12))) - end_corr_k*dr1_bore_ID/2)*(1+correction_pct/100)+dr1_reed_pad</f>
        <v>6.8249023974536</v>
      </c>
      <c r="G8" s="26" t="n">
        <f aca="false">(c_speed/(4*(D8*2^(dr2_target_offset/12))) - end_corr_k*dr2_bore_ID/2)*(1+correction_pct/100)+dr2_reed_pad</f>
        <v>5.20069604209526</v>
      </c>
      <c r="H8" s="27" t="n">
        <f aca="false">SQRT(reed_K_imperial*reed_thickness/(D8*2^(pull_down_cents/1200)))</f>
        <v>0.797690683233179</v>
      </c>
      <c r="I8" s="27" t="n">
        <f aca="false">SQRT(reed_K_imperial*reed_thickness/(D8*2^(dr1_target_offset/12)*2^(pull_down_cents/1200)))</f>
        <v>0.651679567120571</v>
      </c>
      <c r="J8" s="28" t="s">
        <v>209</v>
      </c>
    </row>
    <row r="9" customFormat="false" ht="15" hidden="false" customHeight="false" outlineLevel="0" collapsed="false">
      <c r="A9" s="0" t="s">
        <v>210</v>
      </c>
      <c r="B9" s="0" t="s">
        <v>211</v>
      </c>
      <c r="C9" s="18" t="n">
        <v>67</v>
      </c>
      <c r="D9" s="7" t="n">
        <f aca="false">A4_ref*2^((C9-69)/12)</f>
        <v>391.995435981749</v>
      </c>
      <c r="E9" s="7" t="n">
        <f aca="false">(c_speed/(4*D9) - end_corr_k*mel_bore_ID/2)*(1+correction_pct/100)+mel_reed_pad</f>
        <v>8.99295777198217</v>
      </c>
      <c r="F9" s="7" t="n">
        <f aca="false">(c_speed/(4*(D9*2^(dr1_target_offset/12))) - end_corr_k*dr1_bore_ID/2)*(1+correction_pct/100)+dr1_reed_pad</f>
        <v>6.11848224597522</v>
      </c>
      <c r="G9" s="7" t="n">
        <f aca="false">(c_speed/(4*(D9*2^(dr2_target_offset/12))) - end_corr_k*dr2_bore_ID/2)*(1+correction_pct/100)+dr2_reed_pad</f>
        <v>4.67147888599109</v>
      </c>
      <c r="H9" s="12" t="n">
        <f aca="false">SQRT(reed_K_imperial*reed_thickness/(D9*2^(pull_down_cents/1200)))</f>
        <v>0.752919745369308</v>
      </c>
      <c r="I9" s="12" t="n">
        <f aca="false">SQRT(reed_K_imperial*reed_thickness/(D9*2^(dr1_target_offset/12)*2^(pull_down_cents/1200)))</f>
        <v>0.615103603504633</v>
      </c>
      <c r="J9" s="2" t="s">
        <v>212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4"/>
    <col collapsed="false" customWidth="true" hidden="false" outlineLevel="0" max="3" min="3" style="0" width="32"/>
    <col collapsed="false" customWidth="true" hidden="false" outlineLevel="0" max="4" min="4" style="0" width="8"/>
    <col collapsed="false" customWidth="true" hidden="false" outlineLevel="0" max="5" min="5" style="0" width="28"/>
    <col collapsed="false" customWidth="true" hidden="false" outlineLevel="0" max="6" min="6" style="0" width="12"/>
    <col collapsed="false" customWidth="true" hidden="false" outlineLevel="0" max="7" min="7" style="0" width="18"/>
    <col collapsed="false" customWidth="true" hidden="false" outlineLevel="0" max="8" min="8" style="0" width="26"/>
    <col collapsed="false" customWidth="true" hidden="false" outlineLevel="0" max="9" min="9" style="0" width="30"/>
  </cols>
  <sheetData>
    <row r="1" customFormat="false" ht="17.35" hidden="false" customHeight="false" outlineLevel="0" collapsed="false">
      <c r="A1" s="1" t="s">
        <v>213</v>
      </c>
    </row>
    <row r="3" customFormat="false" ht="15" hidden="false" customHeight="false" outlineLevel="0" collapsed="false">
      <c r="A3" s="29" t="s">
        <v>214</v>
      </c>
      <c r="B3" s="29" t="s">
        <v>215</v>
      </c>
      <c r="C3" s="29" t="s">
        <v>216</v>
      </c>
      <c r="D3" s="29" t="s">
        <v>217</v>
      </c>
      <c r="E3" s="29" t="s">
        <v>218</v>
      </c>
      <c r="F3" s="29" t="s">
        <v>219</v>
      </c>
      <c r="G3" s="29" t="s">
        <v>220</v>
      </c>
      <c r="H3" s="29" t="s">
        <v>221</v>
      </c>
      <c r="I3" s="29" t="s">
        <v>222</v>
      </c>
    </row>
    <row r="4" customFormat="false" ht="23.85" hidden="false" customHeight="false" outlineLevel="0" collapsed="false">
      <c r="A4" s="30" t="s">
        <v>223</v>
      </c>
      <c r="B4" s="30" t="s">
        <v>224</v>
      </c>
      <c r="C4" s="31" t="s">
        <v>225</v>
      </c>
      <c r="D4" s="30" t="n">
        <v>1</v>
      </c>
      <c r="E4" s="31" t="s">
        <v>226</v>
      </c>
      <c r="F4" s="30" t="s">
        <v>227</v>
      </c>
      <c r="G4" s="30" t="s">
        <v>228</v>
      </c>
      <c r="H4" s="31" t="s">
        <v>229</v>
      </c>
      <c r="I4" s="30" t="s">
        <v>230</v>
      </c>
    </row>
    <row r="5" customFormat="false" ht="15" hidden="false" customHeight="false" outlineLevel="0" collapsed="false">
      <c r="A5" s="30" t="s">
        <v>231</v>
      </c>
      <c r="B5" s="30" t="s">
        <v>232</v>
      </c>
      <c r="C5" s="31" t="s">
        <v>233</v>
      </c>
      <c r="D5" s="30" t="n">
        <v>1</v>
      </c>
      <c r="E5" s="31" t="s">
        <v>234</v>
      </c>
      <c r="F5" s="30" t="s">
        <v>235</v>
      </c>
      <c r="G5" s="30" t="s">
        <v>236</v>
      </c>
      <c r="H5" s="31" t="s">
        <v>237</v>
      </c>
      <c r="I5" s="30" t="s">
        <v>238</v>
      </c>
    </row>
    <row r="6" customFormat="false" ht="15" hidden="false" customHeight="false" outlineLevel="0" collapsed="false">
      <c r="A6" s="30" t="s">
        <v>239</v>
      </c>
      <c r="B6" s="30" t="s">
        <v>232</v>
      </c>
      <c r="C6" s="31" t="s">
        <v>240</v>
      </c>
      <c r="D6" s="30" t="n">
        <v>1</v>
      </c>
      <c r="E6" s="31" t="s">
        <v>241</v>
      </c>
      <c r="F6" s="30" t="s">
        <v>235</v>
      </c>
      <c r="G6" s="30" t="s">
        <v>242</v>
      </c>
      <c r="H6" s="31" t="s">
        <v>237</v>
      </c>
      <c r="I6" s="30" t="s">
        <v>238</v>
      </c>
    </row>
    <row r="7" customFormat="false" ht="15" hidden="false" customHeight="false" outlineLevel="0" collapsed="false">
      <c r="A7" s="30" t="s">
        <v>243</v>
      </c>
      <c r="B7" s="30" t="s">
        <v>232</v>
      </c>
      <c r="C7" s="31" t="s">
        <v>244</v>
      </c>
      <c r="D7" s="30" t="n">
        <v>1</v>
      </c>
      <c r="E7" s="31" t="s">
        <v>245</v>
      </c>
      <c r="F7" s="30" t="s">
        <v>235</v>
      </c>
      <c r="G7" s="30" t="s">
        <v>246</v>
      </c>
      <c r="H7" s="31" t="s">
        <v>237</v>
      </c>
      <c r="I7" s="30" t="s">
        <v>238</v>
      </c>
    </row>
    <row r="8" customFormat="false" ht="23.85" hidden="false" customHeight="false" outlineLevel="0" collapsed="false">
      <c r="A8" s="30" t="s">
        <v>247</v>
      </c>
      <c r="B8" s="30" t="s">
        <v>248</v>
      </c>
      <c r="C8" s="31" t="s">
        <v>249</v>
      </c>
      <c r="D8" s="30" t="n">
        <v>1</v>
      </c>
      <c r="E8" s="31" t="s">
        <v>250</v>
      </c>
      <c r="F8" s="30" t="s">
        <v>235</v>
      </c>
      <c r="G8" s="30" t="s">
        <v>228</v>
      </c>
      <c r="H8" s="31" t="s">
        <v>251</v>
      </c>
      <c r="I8" s="30" t="s">
        <v>252</v>
      </c>
    </row>
    <row r="9" customFormat="false" ht="23.85" hidden="false" customHeight="false" outlineLevel="0" collapsed="false">
      <c r="A9" s="30" t="s">
        <v>253</v>
      </c>
      <c r="B9" s="30" t="s">
        <v>254</v>
      </c>
      <c r="C9" s="31" t="s">
        <v>255</v>
      </c>
      <c r="D9" s="30" t="n">
        <v>3</v>
      </c>
      <c r="E9" s="31" t="s">
        <v>256</v>
      </c>
      <c r="F9" s="30" t="s">
        <v>227</v>
      </c>
      <c r="G9" s="30" t="s">
        <v>257</v>
      </c>
      <c r="H9" s="31" t="s">
        <v>258</v>
      </c>
      <c r="I9" s="30" t="s">
        <v>252</v>
      </c>
    </row>
    <row r="10" customFormat="false" ht="15" hidden="false" customHeight="false" outlineLevel="0" collapsed="false">
      <c r="A10" s="30" t="s">
        <v>259</v>
      </c>
      <c r="B10" s="30" t="s">
        <v>260</v>
      </c>
      <c r="C10" s="31" t="s">
        <v>261</v>
      </c>
      <c r="D10" s="30" t="n">
        <v>1</v>
      </c>
      <c r="E10" s="31" t="s">
        <v>262</v>
      </c>
      <c r="F10" s="30" t="s">
        <v>235</v>
      </c>
      <c r="G10" s="30" t="s">
        <v>242</v>
      </c>
      <c r="H10" s="31" t="s">
        <v>263</v>
      </c>
      <c r="I10" s="30" t="s">
        <v>264</v>
      </c>
    </row>
    <row r="11" customFormat="false" ht="15" hidden="false" customHeight="false" outlineLevel="0" collapsed="false">
      <c r="A11" s="30" t="s">
        <v>265</v>
      </c>
      <c r="B11" s="30" t="s">
        <v>260</v>
      </c>
      <c r="C11" s="31" t="s">
        <v>266</v>
      </c>
      <c r="D11" s="30" t="n">
        <v>1</v>
      </c>
      <c r="E11" s="31" t="s">
        <v>267</v>
      </c>
      <c r="F11" s="30" t="s">
        <v>235</v>
      </c>
      <c r="G11" s="30" t="s">
        <v>246</v>
      </c>
      <c r="H11" s="31" t="s">
        <v>268</v>
      </c>
      <c r="I11" s="30"/>
    </row>
    <row r="12" customFormat="false" ht="23.85" hidden="false" customHeight="false" outlineLevel="0" collapsed="false">
      <c r="A12" s="30" t="s">
        <v>269</v>
      </c>
      <c r="B12" s="30" t="s">
        <v>270</v>
      </c>
      <c r="C12" s="31" t="s">
        <v>271</v>
      </c>
      <c r="D12" s="30" t="n">
        <v>1</v>
      </c>
      <c r="E12" s="31" t="s">
        <v>272</v>
      </c>
      <c r="F12" s="30" t="s">
        <v>227</v>
      </c>
      <c r="G12" s="30" t="s">
        <v>273</v>
      </c>
      <c r="H12" s="31" t="s">
        <v>274</v>
      </c>
      <c r="I12" s="30" t="s">
        <v>275</v>
      </c>
    </row>
    <row r="13" customFormat="false" ht="15" hidden="false" customHeight="false" outlineLevel="0" collapsed="false">
      <c r="A13" s="30" t="s">
        <v>276</v>
      </c>
      <c r="B13" s="30" t="s">
        <v>277</v>
      </c>
      <c r="C13" s="31" t="s">
        <v>278</v>
      </c>
      <c r="D13" s="30" t="n">
        <v>1</v>
      </c>
      <c r="E13" s="31" t="s">
        <v>279</v>
      </c>
      <c r="F13" s="30" t="s">
        <v>235</v>
      </c>
      <c r="G13" s="30" t="s">
        <v>280</v>
      </c>
      <c r="H13" s="31" t="s">
        <v>281</v>
      </c>
      <c r="I13" s="30"/>
    </row>
    <row r="14" customFormat="false" ht="23.85" hidden="false" customHeight="false" outlineLevel="0" collapsed="false">
      <c r="A14" s="30" t="s">
        <v>282</v>
      </c>
      <c r="B14" s="30" t="s">
        <v>283</v>
      </c>
      <c r="C14" s="31" t="s">
        <v>284</v>
      </c>
      <c r="D14" s="30" t="n">
        <v>1</v>
      </c>
      <c r="E14" s="31" t="s">
        <v>285</v>
      </c>
      <c r="F14" s="30" t="s">
        <v>235</v>
      </c>
      <c r="G14" s="30" t="s">
        <v>286</v>
      </c>
      <c r="H14" s="31" t="s">
        <v>287</v>
      </c>
      <c r="I14" s="30" t="s">
        <v>230</v>
      </c>
    </row>
    <row r="15" customFormat="false" ht="15" hidden="false" customHeight="false" outlineLevel="0" collapsed="false">
      <c r="A15" s="30" t="s">
        <v>288</v>
      </c>
      <c r="B15" s="30" t="s">
        <v>289</v>
      </c>
      <c r="C15" s="31" t="s">
        <v>290</v>
      </c>
      <c r="D15" s="30" t="n">
        <v>1</v>
      </c>
      <c r="E15" s="31" t="s">
        <v>291</v>
      </c>
      <c r="F15" s="30" t="s">
        <v>235</v>
      </c>
      <c r="G15" s="30" t="s">
        <v>228</v>
      </c>
      <c r="H15" s="31" t="s">
        <v>292</v>
      </c>
      <c r="I15" s="30"/>
    </row>
    <row r="16" customFormat="false" ht="23.85" hidden="false" customHeight="false" outlineLevel="0" collapsed="false">
      <c r="A16" s="30" t="s">
        <v>293</v>
      </c>
      <c r="B16" s="30" t="s">
        <v>294</v>
      </c>
      <c r="C16" s="31" t="s">
        <v>295</v>
      </c>
      <c r="D16" s="30" t="n">
        <v>1</v>
      </c>
      <c r="E16" s="31" t="s">
        <v>296</v>
      </c>
      <c r="F16" s="30" t="s">
        <v>297</v>
      </c>
      <c r="G16" s="30" t="s">
        <v>298</v>
      </c>
      <c r="H16" s="31" t="s">
        <v>299</v>
      </c>
      <c r="I16" s="30" t="s">
        <v>300</v>
      </c>
    </row>
    <row r="17" customFormat="false" ht="15" hidden="false" customHeight="false" outlineLevel="0" collapsed="false">
      <c r="A17" s="30" t="s">
        <v>301</v>
      </c>
      <c r="B17" s="30" t="s">
        <v>302</v>
      </c>
      <c r="C17" s="31" t="s">
        <v>303</v>
      </c>
      <c r="D17" s="30" t="n">
        <v>1</v>
      </c>
      <c r="E17" s="31" t="s">
        <v>304</v>
      </c>
      <c r="F17" s="30" t="s">
        <v>235</v>
      </c>
      <c r="G17" s="30" t="s">
        <v>305</v>
      </c>
      <c r="H17" s="31" t="s">
        <v>306</v>
      </c>
      <c r="I17" s="30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2"/>
    <col collapsed="false" customWidth="true" hidden="false" outlineLevel="0" max="3" min="3" style="0" width="10"/>
    <col collapsed="false" customWidth="true" hidden="false" outlineLevel="0" max="7" min="4" style="0" width="14"/>
    <col collapsed="false" customWidth="true" hidden="false" outlineLevel="0" max="11" min="8" style="0" width="12"/>
    <col collapsed="false" customWidth="true" hidden="false" outlineLevel="0" max="12" min="12" style="0" width="14"/>
    <col collapsed="false" customWidth="true" hidden="false" outlineLevel="0" max="13" min="13" style="0" width="30"/>
  </cols>
  <sheetData>
    <row r="1" customFormat="false" ht="17.35" hidden="false" customHeight="false" outlineLevel="0" collapsed="false">
      <c r="A1" s="1" t="s">
        <v>307</v>
      </c>
    </row>
    <row r="2" customFormat="false" ht="15" hidden="false" customHeight="false" outlineLevel="0" collapsed="false">
      <c r="A2" s="2" t="s">
        <v>308</v>
      </c>
    </row>
    <row r="4" customFormat="false" ht="15" hidden="false" customHeight="false" outlineLevel="0" collapsed="false">
      <c r="A4" s="29" t="s">
        <v>309</v>
      </c>
      <c r="B4" s="29" t="s">
        <v>310</v>
      </c>
      <c r="C4" s="29" t="s">
        <v>311</v>
      </c>
      <c r="D4" s="29" t="s">
        <v>312</v>
      </c>
      <c r="E4" s="29" t="s">
        <v>313</v>
      </c>
      <c r="F4" s="29" t="s">
        <v>314</v>
      </c>
      <c r="G4" s="29" t="s">
        <v>315</v>
      </c>
      <c r="H4" s="29" t="s">
        <v>316</v>
      </c>
      <c r="I4" s="29" t="s">
        <v>317</v>
      </c>
      <c r="J4" s="29" t="s">
        <v>318</v>
      </c>
      <c r="K4" s="29" t="s">
        <v>319</v>
      </c>
      <c r="L4" s="29" t="s">
        <v>320</v>
      </c>
      <c r="M4" s="29" t="s">
        <v>321</v>
      </c>
    </row>
    <row r="5" customFormat="false" ht="15" hidden="false" customHeight="false" outlineLevel="0" collapsed="false">
      <c r="A5" s="30" t="s">
        <v>322</v>
      </c>
      <c r="B5" s="30" t="s">
        <v>323</v>
      </c>
      <c r="C5" s="30" t="s">
        <v>183</v>
      </c>
      <c r="D5" s="30" t="s">
        <v>324</v>
      </c>
      <c r="E5" s="30" t="s">
        <v>325</v>
      </c>
      <c r="F5" s="30"/>
      <c r="G5" s="30"/>
      <c r="H5" s="32" t="str">
        <f aca="false">IF(AND(ISNUMBER(F5),ISNUMBER(G5)),1200*LOG(G5/F5,2),"")</f>
        <v/>
      </c>
      <c r="I5" s="30"/>
      <c r="J5" s="30"/>
      <c r="K5" s="30" t="s">
        <v>326</v>
      </c>
      <c r="L5" s="30"/>
      <c r="M5" s="31" t="s">
        <v>327</v>
      </c>
    </row>
    <row r="6" customFormat="false" ht="15" hidden="false" customHeight="false" outlineLevel="0" collapsed="false">
      <c r="A6" s="30" t="s">
        <v>328</v>
      </c>
      <c r="B6" s="30" t="s">
        <v>329</v>
      </c>
      <c r="C6" s="30" t="s">
        <v>330</v>
      </c>
      <c r="D6" s="30" t="s">
        <v>331</v>
      </c>
      <c r="E6" s="30" t="s">
        <v>332</v>
      </c>
      <c r="F6" s="30"/>
      <c r="G6" s="30"/>
      <c r="H6" s="32" t="str">
        <f aca="false">IF(AND(ISNUMBER(F6),ISNUMBER(G6)),1200*LOG(G6/F6,2),"")</f>
        <v/>
      </c>
      <c r="I6" s="30"/>
      <c r="J6" s="30"/>
      <c r="K6" s="30" t="s">
        <v>333</v>
      </c>
      <c r="L6" s="30"/>
      <c r="M6" s="31" t="s">
        <v>334</v>
      </c>
    </row>
    <row r="7" customFormat="false" ht="15" hidden="false" customHeight="false" outlineLevel="0" collapsed="false">
      <c r="A7" s="30" t="s">
        <v>328</v>
      </c>
      <c r="B7" s="30" t="s">
        <v>329</v>
      </c>
      <c r="C7" s="30" t="s">
        <v>330</v>
      </c>
      <c r="D7" s="30" t="s">
        <v>335</v>
      </c>
      <c r="E7" s="30" t="s">
        <v>336</v>
      </c>
      <c r="F7" s="30"/>
      <c r="G7" s="30"/>
      <c r="H7" s="32" t="str">
        <f aca="false">IF(AND(ISNUMBER(F7),ISNUMBER(G7)),1200*LOG(G7/F7,2),"")</f>
        <v/>
      </c>
      <c r="I7" s="30"/>
      <c r="J7" s="30"/>
      <c r="K7" s="30"/>
      <c r="L7" s="30"/>
      <c r="M7" s="31"/>
    </row>
    <row r="8" customFormat="false" ht="15" hidden="false" customHeight="false" outlineLevel="0" collapsed="false">
      <c r="A8" s="30" t="s">
        <v>337</v>
      </c>
      <c r="B8" s="30" t="s">
        <v>338</v>
      </c>
      <c r="C8" s="30" t="s">
        <v>330</v>
      </c>
      <c r="D8" s="30" t="s">
        <v>331</v>
      </c>
      <c r="E8" s="30" t="s">
        <v>332</v>
      </c>
      <c r="F8" s="30"/>
      <c r="G8" s="30"/>
      <c r="H8" s="32" t="str">
        <f aca="false">IF(AND(ISNUMBER(F8),ISNUMBER(G8)),1200*LOG(G8/F8,2),"")</f>
        <v/>
      </c>
      <c r="I8" s="30"/>
      <c r="J8" s="30"/>
      <c r="K8" s="30"/>
      <c r="L8" s="30"/>
      <c r="M8" s="31" t="s">
        <v>339</v>
      </c>
    </row>
    <row r="9" customFormat="false" ht="15" hidden="false" customHeight="false" outlineLevel="0" collapsed="false">
      <c r="A9" s="30" t="s">
        <v>337</v>
      </c>
      <c r="B9" s="30" t="s">
        <v>338</v>
      </c>
      <c r="C9" s="30" t="s">
        <v>330</v>
      </c>
      <c r="D9" s="30" t="s">
        <v>340</v>
      </c>
      <c r="E9" s="30" t="s">
        <v>341</v>
      </c>
      <c r="F9" s="30"/>
      <c r="G9" s="30"/>
      <c r="H9" s="32" t="str">
        <f aca="false">IF(AND(ISNUMBER(F9),ISNUMBER(G9)),1200*LOG(G9/F9,2),"")</f>
        <v/>
      </c>
      <c r="I9" s="30"/>
      <c r="J9" s="30"/>
      <c r="K9" s="30"/>
      <c r="L9" s="30"/>
      <c r="M9" s="31"/>
    </row>
    <row r="10" customFormat="false" ht="15" hidden="false" customHeight="false" outlineLevel="0" collapsed="false">
      <c r="A10" s="30" t="s">
        <v>337</v>
      </c>
      <c r="B10" s="30" t="s">
        <v>338</v>
      </c>
      <c r="C10" s="30" t="s">
        <v>342</v>
      </c>
      <c r="D10" s="30" t="s">
        <v>324</v>
      </c>
      <c r="E10" s="30" t="s">
        <v>343</v>
      </c>
      <c r="F10" s="30"/>
      <c r="G10" s="30"/>
      <c r="H10" s="32" t="str">
        <f aca="false">IF(AND(ISNUMBER(F10),ISNUMBER(G10)),1200*LOG(G10/F10,2),"")</f>
        <v/>
      </c>
      <c r="I10" s="30"/>
      <c r="J10" s="30"/>
      <c r="K10" s="30"/>
      <c r="L10" s="30"/>
      <c r="M10" s="31"/>
    </row>
    <row r="11" customFormat="false" ht="15" hidden="false" customHeight="false" outlineLevel="0" collapsed="false">
      <c r="A11" s="30" t="s">
        <v>337</v>
      </c>
      <c r="B11" s="30" t="s">
        <v>338</v>
      </c>
      <c r="C11" s="30" t="s">
        <v>344</v>
      </c>
      <c r="D11" s="30" t="s">
        <v>324</v>
      </c>
      <c r="E11" s="30" t="s">
        <v>345</v>
      </c>
      <c r="F11" s="30"/>
      <c r="G11" s="30"/>
      <c r="H11" s="32" t="str">
        <f aca="false">IF(AND(ISNUMBER(F11),ISNUMBER(G11)),1200*LOG(G11/F11,2),"")</f>
        <v/>
      </c>
      <c r="I11" s="30"/>
      <c r="J11" s="30"/>
      <c r="K11" s="30"/>
      <c r="L11" s="30"/>
      <c r="M11" s="31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2026-05-05T16:29:43Z</dcterms:created>
  <dc:creator>openpyxl</dc:creator>
  <dc:description/>
  <dc:language>en-US</dc:language>
  <cp:lastModifiedBy/>
  <dcterms:modified xsi:type="dcterms:W3CDTF">2026-05-05T16:29:43Z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